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ТО СДО\!Документы отдела\ПТО (ОКС)\40. Офисное здание, ул. Я. Фабрициуса, 26\Тендера\22. Внутренние ограждения\"/>
    </mc:Choice>
  </mc:AlternateContent>
  <xr:revisionPtr revIDLastSave="0" documentId="13_ncr:1_{0A9EFCE6-ACA7-4E46-8BCD-70C0E0A8CC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СПС" sheetId="6" r:id="rId1"/>
    <sheet name="смета с расчетом и формулами " sheetId="1" state="hidden" r:id="rId2"/>
    <sheet name="Лист1" sheetId="2" state="hidden" r:id="rId3"/>
  </sheets>
  <definedNames>
    <definedName name="_xlnm._FilterDatabase" localSheetId="1" hidden="1">'смета с расчетом и формулами '!$A$16:$F$214</definedName>
    <definedName name="_xlnm._FilterDatabase" localSheetId="0" hidden="1">СПС!$A$17:$R$48</definedName>
    <definedName name="Constr" localSheetId="1">'смета с расчетом и формулами '!#REF!</definedName>
    <definedName name="Constr" localSheetId="0">СПС!#REF!</definedName>
    <definedName name="FOT" localSheetId="1">'смета с расчетом и формулами '!#REF!</definedName>
    <definedName name="FOT" localSheetId="0">СПС!#REF!</definedName>
    <definedName name="Ind" localSheetId="1">'смета с расчетом и формулами '!#REF!</definedName>
    <definedName name="Ind" localSheetId="0">СПС!#REF!</definedName>
    <definedName name="Obj" localSheetId="1">'смета с расчетом и формулами '!#REF!</definedName>
    <definedName name="Obj" localSheetId="0">СПС!#REF!</definedName>
    <definedName name="Obosn" localSheetId="1">'смета с расчетом и формулами '!#REF!</definedName>
    <definedName name="Obosn" localSheetId="0">СПС!#REF!</definedName>
    <definedName name="Print_Titles" localSheetId="1">'смета с расчетом и формулами '!$20:$20</definedName>
    <definedName name="Print_Titles" localSheetId="0">СПС!$16:$16</definedName>
    <definedName name="SmPr" localSheetId="1">'смета с расчетом и формулами '!#REF!</definedName>
    <definedName name="SmPr" localSheetId="0">СПС!#REF!</definedName>
    <definedName name="_xlnm.Print_Titles" localSheetId="1">'смета с расчетом и формулами '!$20:$20</definedName>
    <definedName name="_xlnm.Print_Titles" localSheetId="0">СПС!$16:$16</definedName>
    <definedName name="_xlnm.Print_Area" localSheetId="0">СПС!$A$1:$R$68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52" i="6" l="1"/>
  <c r="P52" i="6"/>
  <c r="O52" i="6" s="1"/>
  <c r="Q48" i="6" l="1"/>
  <c r="Q53" i="6" s="1"/>
  <c r="P48" i="6"/>
  <c r="P53" i="6" s="1"/>
  <c r="O53" i="6" l="1"/>
  <c r="O48" i="6"/>
  <c r="O54" i="6" l="1"/>
  <c r="C182" i="1"/>
  <c r="C191" i="1" s="1"/>
  <c r="C199" i="1" s="1"/>
  <c r="C207" i="1" s="1"/>
  <c r="C177" i="1"/>
  <c r="C186" i="1" s="1"/>
  <c r="C194" i="1" s="1"/>
  <c r="C202" i="1" s="1"/>
  <c r="G174" i="1"/>
  <c r="G182" i="1" s="1"/>
  <c r="G136" i="1"/>
  <c r="I92" i="1"/>
  <c r="I93" i="1"/>
  <c r="F91" i="1"/>
  <c r="I28" i="1"/>
  <c r="I25" i="1"/>
  <c r="H24" i="1"/>
  <c r="F87" i="1"/>
  <c r="F182" i="1"/>
  <c r="F207" i="1"/>
  <c r="F202" i="1"/>
  <c r="I208" i="1"/>
  <c r="G206" i="1"/>
  <c r="G205" i="1"/>
  <c r="L201" i="1"/>
  <c r="L202" i="1" s="1"/>
  <c r="L204" i="1" s="1"/>
  <c r="F177" i="1"/>
  <c r="I178" i="1" s="1"/>
  <c r="I183" i="1"/>
  <c r="G181" i="1"/>
  <c r="G180" i="1"/>
  <c r="L176" i="1"/>
  <c r="F169" i="1"/>
  <c r="F194" i="1"/>
  <c r="F191" i="1"/>
  <c r="F210" i="1"/>
  <c r="H210" i="1" s="1"/>
  <c r="I206" i="1" l="1"/>
  <c r="I180" i="1"/>
  <c r="I179" i="1"/>
  <c r="H177" i="1"/>
  <c r="G191" i="1"/>
  <c r="H182" i="1"/>
  <c r="H202" i="1"/>
  <c r="I204" i="1"/>
  <c r="I203" i="1"/>
  <c r="I205" i="1"/>
  <c r="I181" i="1"/>
  <c r="J177" i="1" l="1"/>
  <c r="G199" i="1"/>
  <c r="G207" i="1" s="1"/>
  <c r="H207" i="1" s="1"/>
  <c r="H191" i="1"/>
  <c r="J202" i="1"/>
  <c r="F174" i="1" l="1"/>
  <c r="H174" i="1" s="1"/>
  <c r="F166" i="1"/>
  <c r="H166" i="1" s="1"/>
  <c r="I175" i="1"/>
  <c r="F199" i="1"/>
  <c r="H199" i="1" s="1"/>
  <c r="I200" i="1"/>
  <c r="I192" i="1"/>
  <c r="I167" i="1"/>
  <c r="L168" i="1"/>
  <c r="L169" i="1" s="1"/>
  <c r="L162" i="1"/>
  <c r="F186" i="1" s="1"/>
  <c r="L161" i="1"/>
  <c r="K161" i="1"/>
  <c r="L171" i="1" l="1"/>
  <c r="L177" i="1" s="1"/>
  <c r="L179" i="1" s="1"/>
  <c r="F161" i="1"/>
  <c r="H161" i="1" s="1"/>
  <c r="F131" i="1"/>
  <c r="F130" i="1"/>
  <c r="G133" i="1"/>
  <c r="K131" i="1"/>
  <c r="G139" i="1"/>
  <c r="F119" i="1"/>
  <c r="F122" i="1" s="1"/>
  <c r="F125" i="1" s="1"/>
  <c r="N102" i="1"/>
  <c r="N103" i="1" s="1"/>
  <c r="F111" i="1"/>
  <c r="L107" i="1"/>
  <c r="M96" i="1"/>
  <c r="K96" i="1"/>
  <c r="K89" i="1"/>
  <c r="K88" i="1"/>
  <c r="H90" i="1"/>
  <c r="J90" i="1" s="1"/>
  <c r="F76" i="1"/>
  <c r="H131" i="1" l="1"/>
  <c r="F134" i="1"/>
  <c r="F137" i="1"/>
  <c r="H137" i="1" s="1"/>
  <c r="I138" i="1"/>
  <c r="F114" i="1"/>
  <c r="K95" i="1"/>
  <c r="K97" i="1" s="1"/>
  <c r="I133" i="1"/>
  <c r="I132" i="1"/>
  <c r="M89" i="1"/>
  <c r="M88" i="1"/>
  <c r="I139" i="1" l="1"/>
  <c r="J137" i="1" s="1"/>
  <c r="I135" i="1"/>
  <c r="I136" i="1"/>
  <c r="H134" i="1"/>
  <c r="J131" i="1"/>
  <c r="M95" i="1"/>
  <c r="M97" i="1" s="1"/>
  <c r="M87" i="1"/>
  <c r="K76" i="1"/>
  <c r="K62" i="1"/>
  <c r="J134" i="1" l="1"/>
  <c r="K75" i="1"/>
  <c r="F98" i="1" l="1"/>
  <c r="F95" i="1"/>
  <c r="L87" i="1"/>
  <c r="F65" i="1"/>
  <c r="F62" i="1"/>
  <c r="F38" i="1"/>
  <c r="F35" i="1"/>
  <c r="L51" i="1"/>
  <c r="K51" i="1"/>
  <c r="N41" i="1"/>
  <c r="F101" i="1" l="1"/>
  <c r="F104" i="1" s="1"/>
  <c r="F68" i="1"/>
  <c r="F71" i="1" s="1"/>
  <c r="F41" i="1"/>
  <c r="F44" i="1" s="1"/>
  <c r="I45" i="1" s="1"/>
  <c r="F79" i="1"/>
  <c r="G47" i="1"/>
  <c r="G46" i="1"/>
  <c r="K38" i="1"/>
  <c r="K35" i="1"/>
  <c r="K24" i="1"/>
  <c r="L24" i="1"/>
  <c r="I47" i="1" l="1"/>
  <c r="I46" i="1"/>
  <c r="G214" i="1"/>
  <c r="G198" i="1"/>
  <c r="G190" i="1"/>
  <c r="G173" i="1"/>
  <c r="G165" i="1"/>
  <c r="G158" i="1"/>
  <c r="G152" i="1"/>
  <c r="G146" i="1"/>
  <c r="G213" i="1"/>
  <c r="G197" i="1"/>
  <c r="G189" i="1"/>
  <c r="G172" i="1"/>
  <c r="G164" i="1"/>
  <c r="G157" i="1"/>
  <c r="G151" i="1"/>
  <c r="G145" i="1"/>
  <c r="G40" i="1"/>
  <c r="G124" i="1"/>
  <c r="G116" i="1"/>
  <c r="G103" i="1"/>
  <c r="G81" i="1"/>
  <c r="G70" i="1"/>
  <c r="G56" i="1"/>
  <c r="G43" i="1"/>
  <c r="G29" i="1"/>
  <c r="G127" i="1" l="1"/>
  <c r="G107" i="1"/>
  <c r="G106" i="1"/>
  <c r="G85" i="1"/>
  <c r="G84" i="1"/>
  <c r="G74" i="1"/>
  <c r="G73" i="1"/>
  <c r="G60" i="1"/>
  <c r="G59" i="1"/>
  <c r="G33" i="1" l="1"/>
  <c r="G121" i="1" l="1"/>
  <c r="G113" i="1"/>
  <c r="G100" i="1"/>
  <c r="G97" i="1"/>
  <c r="G89" i="1"/>
  <c r="G78" i="1"/>
  <c r="G67" i="1"/>
  <c r="G64" i="1"/>
  <c r="I74" i="1"/>
  <c r="I72" i="1"/>
  <c r="I73" i="1"/>
  <c r="G53" i="1"/>
  <c r="G37" i="1"/>
  <c r="G32" i="1"/>
  <c r="G26" i="1" l="1"/>
  <c r="I26" i="1" s="1"/>
  <c r="J24" i="1" s="1"/>
  <c r="I214" i="1" l="1"/>
  <c r="I213" i="1"/>
  <c r="I212" i="1"/>
  <c r="I211" i="1"/>
  <c r="I198" i="1"/>
  <c r="I197" i="1"/>
  <c r="I196" i="1"/>
  <c r="I195" i="1"/>
  <c r="I173" i="1"/>
  <c r="I172" i="1"/>
  <c r="I171" i="1"/>
  <c r="I170" i="1"/>
  <c r="I190" i="1"/>
  <c r="I189" i="1"/>
  <c r="I188" i="1"/>
  <c r="I187" i="1"/>
  <c r="I165" i="1"/>
  <c r="I164" i="1"/>
  <c r="I163" i="1"/>
  <c r="I162" i="1"/>
  <c r="I158" i="1"/>
  <c r="I157" i="1"/>
  <c r="I156" i="1"/>
  <c r="I155" i="1"/>
  <c r="I152" i="1"/>
  <c r="I151" i="1"/>
  <c r="I150" i="1"/>
  <c r="I149" i="1"/>
  <c r="I146" i="1"/>
  <c r="I145" i="1"/>
  <c r="I144" i="1"/>
  <c r="I143" i="1"/>
  <c r="I127" i="1"/>
  <c r="I126" i="1"/>
  <c r="I124" i="1"/>
  <c r="I123" i="1"/>
  <c r="I121" i="1"/>
  <c r="I120" i="1"/>
  <c r="I116" i="1"/>
  <c r="I115" i="1"/>
  <c r="I113" i="1"/>
  <c r="I112" i="1"/>
  <c r="I107" i="1"/>
  <c r="I106" i="1"/>
  <c r="I105" i="1"/>
  <c r="I103" i="1"/>
  <c r="I102" i="1"/>
  <c r="I100" i="1"/>
  <c r="I99" i="1"/>
  <c r="I97" i="1"/>
  <c r="I96" i="1"/>
  <c r="I89" i="1"/>
  <c r="I88" i="1"/>
  <c r="I81" i="1"/>
  <c r="I80" i="1"/>
  <c r="I70" i="1"/>
  <c r="I69" i="1"/>
  <c r="I67" i="1"/>
  <c r="I66" i="1"/>
  <c r="I64" i="1"/>
  <c r="I63" i="1"/>
  <c r="I56" i="1"/>
  <c r="I55" i="1"/>
  <c r="I43" i="1"/>
  <c r="I42" i="1"/>
  <c r="I40" i="1"/>
  <c r="I39" i="1" l="1"/>
  <c r="I37" i="1"/>
  <c r="I36" i="1"/>
  <c r="I33" i="1" l="1"/>
  <c r="I32" i="1"/>
  <c r="I31" i="1"/>
  <c r="I29" i="1"/>
  <c r="H122" i="1" l="1"/>
  <c r="J122" i="1" s="1"/>
  <c r="H101" i="1"/>
  <c r="J101" i="1" s="1"/>
  <c r="H79" i="1"/>
  <c r="J79" i="1" s="1"/>
  <c r="H68" i="1"/>
  <c r="J68" i="1" s="1"/>
  <c r="H54" i="1"/>
  <c r="J54" i="1" s="1"/>
  <c r="H41" i="1"/>
  <c r="J41" i="1" s="1"/>
  <c r="H27" i="1"/>
  <c r="J27" i="1" s="1"/>
  <c r="H194" i="1" l="1"/>
  <c r="J194" i="1" s="1"/>
  <c r="H186" i="1"/>
  <c r="J186" i="1" s="1"/>
  <c r="J161" i="1"/>
  <c r="H169" i="1"/>
  <c r="J169" i="1" s="1"/>
  <c r="H148" i="1"/>
  <c r="J148" i="1" s="1"/>
  <c r="H154" i="1"/>
  <c r="J154" i="1" s="1"/>
  <c r="H142" i="1"/>
  <c r="J142" i="1" s="1"/>
  <c r="H125" i="1"/>
  <c r="J125" i="1" s="1"/>
  <c r="H119" i="1"/>
  <c r="J119" i="1" s="1"/>
  <c r="H114" i="1"/>
  <c r="J114" i="1" s="1"/>
  <c r="H111" i="1"/>
  <c r="J111" i="1" s="1"/>
  <c r="H95" i="1"/>
  <c r="J95" i="1" s="1"/>
  <c r="H98" i="1"/>
  <c r="J98" i="1" s="1"/>
  <c r="H104" i="1"/>
  <c r="J104" i="1" s="1"/>
  <c r="H87" i="1"/>
  <c r="J87" i="1" s="1"/>
  <c r="H65" i="1"/>
  <c r="J65" i="1" s="1"/>
  <c r="H71" i="1"/>
  <c r="J71" i="1" s="1"/>
  <c r="H62" i="1"/>
  <c r="J62" i="1" s="1"/>
  <c r="H38" i="1"/>
  <c r="J38" i="1" s="1"/>
  <c r="H35" i="1"/>
  <c r="J35" i="1" s="1"/>
  <c r="H30" i="1"/>
  <c r="J30" i="1" s="1"/>
  <c r="J210" i="1" l="1"/>
  <c r="I53" i="1"/>
  <c r="I52" i="1"/>
  <c r="I77" i="1"/>
  <c r="I78" i="1"/>
  <c r="H44" i="1"/>
  <c r="H51" i="1"/>
  <c r="H76" i="1"/>
  <c r="F82" i="1"/>
  <c r="J44" i="1" l="1"/>
  <c r="J76" i="1"/>
  <c r="I83" i="1"/>
  <c r="I85" i="1"/>
  <c r="I84" i="1"/>
  <c r="I60" i="1"/>
  <c r="I59" i="1"/>
  <c r="I58" i="1"/>
  <c r="J51" i="1"/>
  <c r="H57" i="1"/>
  <c r="H82" i="1"/>
  <c r="I215" i="1" l="1"/>
  <c r="H215" i="1"/>
  <c r="J57" i="1"/>
  <c r="J82" i="1"/>
  <c r="J215" i="1" l="1"/>
</calcChain>
</file>

<file path=xl/sharedStrings.xml><?xml version="1.0" encoding="utf-8"?>
<sst xmlns="http://schemas.openxmlformats.org/spreadsheetml/2006/main" count="581" uniqueCount="214">
  <si>
    <t>№ пп</t>
  </si>
  <si>
    <t>Наименование</t>
  </si>
  <si>
    <t>Ед. изм.</t>
  </si>
  <si>
    <t>Обоснование</t>
  </si>
  <si>
    <t>Раздел 1. Технические помещения жилого дома (подвал)</t>
  </si>
  <si>
    <t>ИТП, водомерный узел, электрощитовая, комната уборочного инвентаря</t>
  </si>
  <si>
    <t>Потолок</t>
  </si>
  <si>
    <t>1</t>
  </si>
  <si>
    <t>Договорная стоимость</t>
  </si>
  <si>
    <t>м2</t>
  </si>
  <si>
    <t>Стены</t>
  </si>
  <si>
    <t>4</t>
  </si>
  <si>
    <t>5</t>
  </si>
  <si>
    <t>м.п.</t>
  </si>
  <si>
    <t>Раздел 2. 1-8 этажи (места общего пользования)</t>
  </si>
  <si>
    <t>Коридор внеквартирный</t>
  </si>
  <si>
    <t>Раздел 3. Квартиры</t>
  </si>
  <si>
    <t>Жилые комнаты, кухни, прихожие</t>
  </si>
  <si>
    <t>Раздел 4. Машинное отделение</t>
  </si>
  <si>
    <t>ИТОГО</t>
  </si>
  <si>
    <t xml:space="preserve">ПЗ - облицовка по детали А 
</t>
  </si>
  <si>
    <t xml:space="preserve">Ш -шпатлевка стен из пазогребневых гипсовых плит
</t>
  </si>
  <si>
    <t xml:space="preserve">ШГС - гипсовая штукатурка стен из керамзито-бетонного и цементно-песчан. блока
</t>
  </si>
  <si>
    <t xml:space="preserve">ПС - подготовка бетонных поверхностей стен  
- грунтовка  
- выравнивающая штукатурка гипсовой смесью b=8мм 
- шпатлевка за 2 раза </t>
  </si>
  <si>
    <t xml:space="preserve">ОКП - облицовка керамической плиткой </t>
  </si>
  <si>
    <t xml:space="preserve">ШП - штукатурка цементно-песчанным раствором кирпичных стен 
</t>
  </si>
  <si>
    <t>ВО водоэмульонная окарска</t>
  </si>
  <si>
    <t>1 этаж</t>
  </si>
  <si>
    <t xml:space="preserve">Электрощитовая </t>
  </si>
  <si>
    <t xml:space="preserve">ОКП - облицовка керамической плиткой пола
</t>
  </si>
  <si>
    <t xml:space="preserve">ОКП - облицовка керамической плиткой плинтус 150 мм
</t>
  </si>
  <si>
    <t>Полы подвал</t>
  </si>
  <si>
    <t xml:space="preserve"> КУИ(3)</t>
  </si>
  <si>
    <t xml:space="preserve"> ИТП, водомерный узел, тамбур</t>
  </si>
  <si>
    <t>Тамбур,  лестнично-лифтовый холл</t>
  </si>
  <si>
    <t>2-8 этаж</t>
  </si>
  <si>
    <t>ВСЕГО без НДС</t>
  </si>
  <si>
    <t>Цена за ед., руб.</t>
  </si>
  <si>
    <t>Стоимость Работ, руб.</t>
  </si>
  <si>
    <t>Шпатлевка за 2 раза</t>
  </si>
  <si>
    <t>Водоэмульсионная окраска,  тип "Капля"</t>
  </si>
  <si>
    <t>Стоимость МАТ, руб.</t>
  </si>
  <si>
    <t>Всего, руб.</t>
  </si>
  <si>
    <t>Расход</t>
  </si>
  <si>
    <t xml:space="preserve">Керамогранит 30*30 </t>
  </si>
  <si>
    <t xml:space="preserve">Клей Будмар 25 кг </t>
  </si>
  <si>
    <t xml:space="preserve">Договорная стоимость
</t>
  </si>
  <si>
    <t>Внеквартирный коридор</t>
  </si>
  <si>
    <t xml:space="preserve">Материал Генподрядчика </t>
  </si>
  <si>
    <t xml:space="preserve">Материал Подрядчика </t>
  </si>
  <si>
    <t xml:space="preserve">Затирка для плитки Церезит 2 кг </t>
  </si>
  <si>
    <t xml:space="preserve">Грунтовка Кратекс 10 л </t>
  </si>
  <si>
    <t xml:space="preserve">Грунтовка Бетоноконтакт (Кратекс 15 кг)  </t>
  </si>
  <si>
    <t xml:space="preserve">Гипсовая штукатурка Стойвер механик 30 кг </t>
  </si>
  <si>
    <t>Шпатлевка гипсовая "Кнауф Сатин" 30 кг</t>
  </si>
  <si>
    <t xml:space="preserve">Грунтовка Основит унконт  10 л </t>
  </si>
  <si>
    <t>Состав для набрызга Промикс 25 кг</t>
  </si>
  <si>
    <t xml:space="preserve">Краска водоэмульсионная Тиккурила 9 л  (13кг) с колером </t>
  </si>
  <si>
    <t xml:space="preserve">Грунтовка Основит унконт 10 л </t>
  </si>
  <si>
    <t xml:space="preserve">Грунтовка Бетоноконтакт (Кратекс 15 кг) </t>
  </si>
  <si>
    <t>Штукатурка ц/п Евромастер 25 кг</t>
  </si>
  <si>
    <t xml:space="preserve">Шпатлевка гипсовая "Кнауф Сатин" 30 кг </t>
  </si>
  <si>
    <t xml:space="preserve">Состав для набрызга Промикс 25 кг </t>
  </si>
  <si>
    <t>Гипсовая штукатурка Стойвер механик 30 кг</t>
  </si>
  <si>
    <t>Грунтовка Бетоноконтакт (Кратекс 15 кг)</t>
  </si>
  <si>
    <t>Краска водоэмульсионная Тиккурила 9 л  (13кг) с колером</t>
  </si>
  <si>
    <t>Грунтовка Основит унконт 10 л</t>
  </si>
  <si>
    <t>Грунтовка Кратекс 10 л</t>
  </si>
  <si>
    <t>Клей Будмар 25 кг</t>
  </si>
  <si>
    <t>Затирка для плитки Церезит 2 кг</t>
  </si>
  <si>
    <t xml:space="preserve">   Приложение №2 к договору строительного подряда №64-20/СП-Л11 от 13.11.2020г.</t>
  </si>
  <si>
    <t>СОГЛАСОВАНО:</t>
  </si>
  <si>
    <t>УТВЕРЖДАЮ:</t>
  </si>
  <si>
    <t>Представитель по доверенности  ООО "Альфа"</t>
  </si>
  <si>
    <t xml:space="preserve">_______________И.Ф. Кучерявский </t>
  </si>
  <si>
    <t>на внутренние отделочные работы</t>
  </si>
  <si>
    <t>Расчет договорной стоимости №1</t>
  </si>
  <si>
    <t>Инженер СДО___________________________Остапенко Т.А.</t>
  </si>
  <si>
    <t>Инженер ПТО ___________________________Ситников В.А.</t>
  </si>
  <si>
    <t>объект: «Среднеэтажные жилые дома литер 1-13 по ул. Войсковой, 4 в г. Краснодаре». 11 этап строительства 8-этажный жилой дом. Литер 11</t>
  </si>
  <si>
    <t>Индивидуальный предприниматель Койчуев М.И.</t>
  </si>
  <si>
    <t xml:space="preserve">_______________М.И. Койчуев </t>
  </si>
  <si>
    <t>Шпатлевка за 2 раза( перед окраской)</t>
  </si>
  <si>
    <t xml:space="preserve">Стены Лифтовый хол(оси Л-Н/5-6;1-8 этажи) и межлестничная площадка (Л-Н/6-7;1-8 этажи) </t>
  </si>
  <si>
    <t>колонны добавь</t>
  </si>
  <si>
    <t>добавь стены л/к основ</t>
  </si>
  <si>
    <t>добавить потолки маршей</t>
  </si>
  <si>
    <t>Потолок Лифтовый хол(оси Л-Н/5-6;1-8 этажи) и межлестничная площадка (Л-Н/6-7;1-8 этажи) лестничные марши</t>
  </si>
  <si>
    <t xml:space="preserve"> Теплоизоляции из минераловатных плит серии ТЕХНОФАС толщ.80 мм</t>
  </si>
  <si>
    <t>м3</t>
  </si>
  <si>
    <t>1 эт</t>
  </si>
  <si>
    <t>Водоэмульсионная окраска</t>
  </si>
  <si>
    <t xml:space="preserve">Облицовка керамической плиткой </t>
  </si>
  <si>
    <t>.2-8</t>
  </si>
  <si>
    <t>Лестничные площадки и лифтовый хол</t>
  </si>
  <si>
    <t>Ступени монолитной лестницы в осях Л-Н/6-7 и 4-5/А</t>
  </si>
  <si>
    <t>Лестница 4-5/А</t>
  </si>
  <si>
    <t xml:space="preserve">подготовка бетонных поверхностей потолка  
- грунтовка  
- выравнивающая штукатурка гипсовой смесью b=8мм </t>
  </si>
  <si>
    <t>подготовка бетонных поверхностей потолка  
- грунтовка  
- выравнивающая штукатурка гипсовой смесью b=8мм</t>
  </si>
  <si>
    <t xml:space="preserve">Подготовка бетонных поверхностей стен  
- грунтовка  
- выравнивающая штукатурка гипсовой смесью b=8мм 
</t>
  </si>
  <si>
    <t xml:space="preserve">Штукатурка цементно-песчанным раствором кирпичных стен 
</t>
  </si>
  <si>
    <t xml:space="preserve">Подготовка бетонных поверхностей потолка  
- грунтовка  
- выравнивающая штукатурка гипсовой смесью b=8мм 
</t>
  </si>
  <si>
    <t xml:space="preserve">Штукатурка гипсовым раствором стен из керамзитобетонных блоков и цементно печанных блоков </t>
  </si>
  <si>
    <t xml:space="preserve">Монтаж Теплоизоляции из минераловатных плит серии ТЕХНОФАС , устройство 
Цементно-песчаной штукатурки  по металлической сетке-просечке 15х30х0.8
</t>
  </si>
  <si>
    <t xml:space="preserve">Сетка металлическая </t>
  </si>
  <si>
    <t>кг</t>
  </si>
  <si>
    <t xml:space="preserve">Штукатурка гипсовым раствором кирпичных стен 
</t>
  </si>
  <si>
    <t xml:space="preserve">Гипсовая штукатурка стен из керамзито-бетонного и цементно-песчан. блока
</t>
  </si>
  <si>
    <t xml:space="preserve">Шпатлевка стен из пазогребневых гипсовых плит за 2 раза, с установкой уголков и использованием сетки 
</t>
  </si>
  <si>
    <t xml:space="preserve">Подготовка бетонных поверхностей потолка  
- грунтовка  
- выравнивающая штукатурка гипсовой смесью b=8мм 
- шпатлевка за 2 раза </t>
  </si>
  <si>
    <t xml:space="preserve">Штукатурка цементно-песчанным раствором кирпичных стен
</t>
  </si>
  <si>
    <t xml:space="preserve">Устройство керамического плинтуса 150 мм
</t>
  </si>
  <si>
    <t>Облицовка керамической плиткой ступененй</t>
  </si>
  <si>
    <t>Данные о компании</t>
  </si>
  <si>
    <t>Наименование компании</t>
  </si>
  <si>
    <t>ИНН</t>
  </si>
  <si>
    <t>Адрес</t>
  </si>
  <si>
    <t>ФИО директора</t>
  </si>
  <si>
    <t>ФИО контактного лица телефон, e-mail</t>
  </si>
  <si>
    <t>Примечание</t>
  </si>
  <si>
    <t>в том числе</t>
  </si>
  <si>
    <t>Стоимость,руб.</t>
  </si>
  <si>
    <t>всего</t>
  </si>
  <si>
    <t xml:space="preserve">Наименование работ </t>
  </si>
  <si>
    <t>Срок выполнения работ</t>
  </si>
  <si>
    <t>НДС</t>
  </si>
  <si>
    <t>Допуски СРО к указанным работам</t>
  </si>
  <si>
    <t>Комментарии</t>
  </si>
  <si>
    <t>%</t>
  </si>
  <si>
    <t>мес</t>
  </si>
  <si>
    <t>есть/нет</t>
  </si>
  <si>
    <t>Цена за ед. изм., руб</t>
  </si>
  <si>
    <t>Объём работ</t>
  </si>
  <si>
    <t>Материалы</t>
  </si>
  <si>
    <t>Работа</t>
  </si>
  <si>
    <t>При возникновении дополнительных работ предоставляется скидка</t>
  </si>
  <si>
    <t xml:space="preserve">на объекте: </t>
  </si>
  <si>
    <t>на выполнение строительно-монтажных работ:</t>
  </si>
  <si>
    <t>Ведомость объёмов работ. Расчет договорной цены</t>
  </si>
  <si>
    <t xml:space="preserve"> Ед. изм.</t>
  </si>
  <si>
    <t>Норма расхода</t>
  </si>
  <si>
    <t>с ндс/без НДС</t>
  </si>
  <si>
    <t>Гарантийные обязательства</t>
  </si>
  <si>
    <t xml:space="preserve">Страхование ответственности </t>
  </si>
  <si>
    <t>Гарантийный срок начала работ с момента получения уведомления о привлечении к выполнению работ/полученая аванса</t>
  </si>
  <si>
    <t>дней</t>
  </si>
  <si>
    <t>Готовность приступить к работам по гарантийному письму</t>
  </si>
  <si>
    <t>да/нет</t>
  </si>
  <si>
    <t>Банковская гарантия</t>
  </si>
  <si>
    <t>Согласовано:</t>
  </si>
  <si>
    <t xml:space="preserve"> __________________________/Пикулёва Е.А./</t>
  </si>
  <si>
    <t xml:space="preserve">Материал подрядчика </t>
  </si>
  <si>
    <t>Итого по разделу №1:</t>
  </si>
  <si>
    <t>Итого по разделам:</t>
  </si>
  <si>
    <t>В т.ч. НДС 20%:</t>
  </si>
  <si>
    <t xml:space="preserve"> __________________________/Чернов Е.А./</t>
  </si>
  <si>
    <t>«Офисное здание по ул. Яна Фабрициуса, д. 26»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</si>
  <si>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</si>
  <si>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</si>
  <si>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</si>
  <si>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</si>
  <si>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</si>
  <si>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</si>
  <si>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</si>
  <si>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</si>
  <si>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</si>
  <si>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Итого по разделу №2:</t>
  </si>
  <si>
    <t>2.1</t>
  </si>
  <si>
    <t>2.2</t>
  </si>
  <si>
    <t xml:space="preserve">Составил:  Инженер ПТО ООО "ГСС"                                         </t>
  </si>
  <si>
    <t xml:space="preserve">Начальник ПТО ООО "ГСС"     </t>
  </si>
  <si>
    <t>Внутренние ограждения</t>
  </si>
  <si>
    <t>Приложение № 2 к Техническому заданию №Офис-Огр от 18.08.2023 г.</t>
  </si>
  <si>
    <t>Раздел 1. Устройство ограждений лестничных маршей</t>
  </si>
  <si>
    <t>1.10</t>
  </si>
  <si>
    <t>1.11</t>
  </si>
  <si>
    <t>1.12</t>
  </si>
  <si>
    <t>1.13</t>
  </si>
  <si>
    <t>1.14</t>
  </si>
  <si>
    <t>1.15</t>
  </si>
  <si>
    <t>Расходный и крепежный материал. При закрытии акта выполненных работ по форме КС-2 требуется расшифровка фактических затрат с подтверждением стоимости.</t>
  </si>
  <si>
    <t>Материал не указанный в спецификации, но необходимый для качественного выполнения работ и СМР неучтенные в ведомости объемов работ (ВОР). При закрытии акта выполненных работ по форме КС-2 требуется расшифровка фактических затрат с подтверждением стоимости.</t>
  </si>
  <si>
    <t>Раздел 2. Расходные материалы</t>
  </si>
  <si>
    <t>ОГ-1</t>
  </si>
  <si>
    <t>ОГ-2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</si>
  <si>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4,825 м.п.)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</si>
  <si>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2,205 м.п.)</t>
  </si>
  <si>
    <t>ОГ-3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</si>
  <si>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0,865 м.п.)</t>
  </si>
  <si>
    <t>ОГ-4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</si>
  <si>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1,5 м.п.)</t>
  </si>
  <si>
    <t>ОГ-5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</si>
  <si>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1,42 м.п.)</t>
  </si>
  <si>
    <t>ОГ-6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</si>
  <si>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3,195 м.п.)</t>
  </si>
  <si>
    <t>ОГ-7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</si>
  <si>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1,255 м.п.)</t>
  </si>
  <si>
    <t>ОГ-8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</si>
  <si>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0,68 м.п.)</t>
  </si>
  <si>
    <t>ОГ-9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</si>
  <si>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4,845 м.п.)</t>
  </si>
  <si>
    <t>ОГ-10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</si>
  <si>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3,14 м.п.)</t>
  </si>
  <si>
    <t>ОГ-11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</si>
  <si>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1,89 м.п.)</t>
  </si>
  <si>
    <t>ОГ-12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</si>
  <si>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0,245 м.п.)</t>
  </si>
  <si>
    <t>ОГ-13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</si>
  <si>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2,44 м.п.)</t>
  </si>
  <si>
    <t>ОГ-14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</si>
  <si>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5,64 м.п.)</t>
  </si>
  <si>
    <t>ОГ-15</t>
  </si>
  <si>
    <t>Ограждение стеклянное на напольном стеклодержателе 40*40*400 с КВАДРАТНЫМ поручнем. Стекло триплекс 10LigtВIиеЗак. I ОМ 1 Зак.
Поручень 40*40. Поручень и фурнитура — полированные. Высота ограждения 1200. (1 шт = 2,08 м.п.)</t>
  </si>
  <si>
    <t>В стоимость работ входит: фонд оплаты труда, накладные расходы, сметная прибыль, механизмы, расходные материалы.
В комплекс работ по монтажу входит:
- изготовление и монтаж конструкций ограждений согласно действующим строительным нормам и правилам, государственным стандартам на данные виды работ, в т.ч. ГОСТ Р 53254-2009;
- качество сварных соединений должно соответствовать ГОСТ 5264-80; 
- погрузочно-разгрузочные работы, складирование, подача к месту производства работ; 
- уборка рабочих мест; 
- заключения уполномоченных организаций (лабораторий) о результатах лабораторных испытаний сварных соединений, анкерных креплений;
- обеспечение инструментом, инвентарем,  расходными материалами; 
  Значения объемов работ являются ориентировочными и могут уточняться в связи с изменением проектных решения.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</si>
</sst>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&quot; ₽&quot;_-;\-* #,##0.00&quot; ₽&quot;_-;_-* \-??&quot; ₽&quot;_-;_-@_-"/>
    <numFmt numFmtId="166" formatCode="_-* #,##0.00&quot;р.&quot;_-;\-* #,##0.00&quot;р.&quot;_-;_-* \-??&quot;р.&quot;_-;_-@_-"/>
    <numFmt numFmtId="167" formatCode="_-* #,##0.00_-;\-* #,##0.00_-;_-* \-??_-;_-@_-"/>
    <numFmt numFmtId="168" formatCode="_-* #,##0.00\ _₽_-;\-* #,##0.00\ _₽_-;_-* \-??\ _₽_-;_-@_-"/>
    <numFmt numFmtId="169" formatCode="_(* #,##0.00_);_(* \(#,##0.00\);_(* \-??_);_(@_)"/>
    <numFmt numFmtId="170" formatCode="_-* #,##0.00_р_._-;\-* #,##0.00_р_._-;_-* \-??_р_._-;_-@_-"/>
    <numFmt numFmtId="171" formatCode="[$-419]General"/>
  </numFmts>
  <fonts count="4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A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Arial"/>
      <family val="2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2"/>
      <charset val="204"/>
    </font>
    <font>
      <sz val="10"/>
      <name val="Times New Roman Cyr"/>
      <family val="1"/>
      <charset val="204"/>
    </font>
    <font>
      <sz val="8"/>
      <name val="Arial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/>
      <diagonal/>
    </border>
    <border>
      <left style="thin">
        <color indexed="64"/>
      </left>
      <right style="thin">
        <color rgb="FF3F3F3F"/>
      </right>
      <top/>
      <bottom/>
      <diagonal/>
    </border>
    <border>
      <left style="thin">
        <color indexed="64"/>
      </left>
      <right style="thin">
        <color rgb="FF3F3F3F"/>
      </right>
      <top/>
      <bottom style="thin">
        <color indexed="64"/>
      </bottom>
      <diagonal/>
    </border>
  </borders>
  <cellStyleXfs count="141">
    <xf numFmtId="0" fontId="0" fillId="0" borderId="0"/>
    <xf numFmtId="0" fontId="5" fillId="0" borderId="0"/>
    <xf numFmtId="0" fontId="7" fillId="0" borderId="0"/>
    <xf numFmtId="0" fontId="8" fillId="0" borderId="0"/>
    <xf numFmtId="0" fontId="4" fillId="0" borderId="0"/>
    <xf numFmtId="0" fontId="27" fillId="12" borderId="0" applyNumberFormat="0" applyBorder="0" applyAlignment="0" applyProtection="0"/>
    <xf numFmtId="0" fontId="29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7" applyNumberFormat="0" applyAlignment="0" applyProtection="0"/>
    <xf numFmtId="0" fontId="32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7" fillId="0" borderId="0"/>
    <xf numFmtId="168" fontId="37" fillId="0" borderId="0" applyBorder="0" applyProtection="0"/>
    <xf numFmtId="9" fontId="37" fillId="0" borderId="0" applyBorder="0" applyProtection="0"/>
    <xf numFmtId="165" fontId="37" fillId="0" borderId="0" applyBorder="0" applyProtection="0"/>
    <xf numFmtId="166" fontId="37" fillId="0" borderId="0" applyBorder="0" applyProtection="0"/>
    <xf numFmtId="166" fontId="37" fillId="0" borderId="0" applyBorder="0" applyProtection="0"/>
    <xf numFmtId="0" fontId="37" fillId="0" borderId="0"/>
    <xf numFmtId="0" fontId="39" fillId="0" borderId="0"/>
    <xf numFmtId="0" fontId="40" fillId="0" borderId="0"/>
    <xf numFmtId="0" fontId="39" fillId="0" borderId="0"/>
    <xf numFmtId="0" fontId="41" fillId="0" borderId="0"/>
    <xf numFmtId="0" fontId="3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1" fillId="0" borderId="0"/>
    <xf numFmtId="0" fontId="37" fillId="0" borderId="0"/>
    <xf numFmtId="0" fontId="42" fillId="0" borderId="0"/>
    <xf numFmtId="0" fontId="37" fillId="0" borderId="0"/>
    <xf numFmtId="0" fontId="37" fillId="0" borderId="0"/>
    <xf numFmtId="0" fontId="39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7" fillId="0" borderId="0"/>
    <xf numFmtId="0" fontId="3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 applyBorder="0" applyProtection="0"/>
    <xf numFmtId="0" fontId="37" fillId="0" borderId="0"/>
    <xf numFmtId="0" fontId="43" fillId="0" borderId="0"/>
    <xf numFmtId="0" fontId="37" fillId="0" borderId="0"/>
    <xf numFmtId="0" fontId="37" fillId="0" borderId="0"/>
    <xf numFmtId="0" fontId="7" fillId="0" borderId="0"/>
    <xf numFmtId="0" fontId="37" fillId="0" borderId="0"/>
    <xf numFmtId="0" fontId="37" fillId="0" borderId="0"/>
    <xf numFmtId="9" fontId="37" fillId="0" borderId="0" applyBorder="0" applyProtection="0"/>
    <xf numFmtId="9" fontId="38" fillId="0" borderId="0" applyBorder="0" applyProtection="0"/>
    <xf numFmtId="9" fontId="37" fillId="0" borderId="0" applyBorder="0" applyProtection="0"/>
    <xf numFmtId="9" fontId="37" fillId="0" borderId="0" applyBorder="0" applyProtection="0"/>
    <xf numFmtId="0" fontId="38" fillId="0" borderId="0"/>
    <xf numFmtId="167" fontId="37" fillId="0" borderId="0" applyBorder="0" applyProtection="0"/>
    <xf numFmtId="168" fontId="37" fillId="0" borderId="0" applyBorder="0" applyProtection="0"/>
    <xf numFmtId="169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70" fontId="37" fillId="0" borderId="0" applyBorder="0" applyProtection="0"/>
    <xf numFmtId="170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70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8" fontId="37" fillId="0" borderId="0" applyBorder="0" applyProtection="0"/>
    <xf numFmtId="170" fontId="37" fillId="0" borderId="0" applyBorder="0" applyProtection="0"/>
    <xf numFmtId="170" fontId="37" fillId="0" borderId="0" applyBorder="0" applyProtection="0"/>
    <xf numFmtId="170" fontId="37" fillId="0" borderId="0" applyBorder="0" applyProtection="0"/>
    <xf numFmtId="168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7" fontId="37" fillId="0" borderId="0" applyBorder="0" applyProtection="0"/>
    <xf numFmtId="168" fontId="37" fillId="0" borderId="0" applyBorder="0" applyProtection="0"/>
    <xf numFmtId="0" fontId="37" fillId="0" borderId="0"/>
    <xf numFmtId="0" fontId="7" fillId="0" borderId="0"/>
    <xf numFmtId="0" fontId="7" fillId="0" borderId="0"/>
    <xf numFmtId="0" fontId="32" fillId="0" borderId="0"/>
    <xf numFmtId="168" fontId="37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0" borderId="0"/>
    <xf numFmtId="171" fontId="45" fillId="0" borderId="0" applyBorder="0" applyProtection="0"/>
    <xf numFmtId="171" fontId="37" fillId="0" borderId="0" applyBorder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6">
    <xf numFmtId="0" fontId="0" fillId="0" borderId="0" xfId="0"/>
    <xf numFmtId="0" fontId="9" fillId="2" borderId="0" xfId="0" applyFont="1" applyFill="1"/>
    <xf numFmtId="49" fontId="12" fillId="2" borderId="0" xfId="0" applyNumberFormat="1" applyFont="1" applyFill="1" applyAlignment="1">
      <alignment horizontal="left" vertical="top"/>
    </xf>
    <xf numFmtId="0" fontId="12" fillId="2" borderId="0" xfId="0" applyFont="1" applyFill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2" fontId="13" fillId="2" borderId="0" xfId="0" applyNumberFormat="1" applyFont="1" applyFill="1" applyAlignment="1">
      <alignment horizontal="center" vertical="center" wrapText="1"/>
    </xf>
    <xf numFmtId="2" fontId="9" fillId="2" borderId="1" xfId="0" applyNumberFormat="1" applyFont="1" applyFill="1" applyBorder="1"/>
    <xf numFmtId="0" fontId="12" fillId="0" borderId="1" xfId="0" applyFont="1" applyBorder="1" applyAlignment="1">
      <alignment horizontal="left" vertical="top" wrapText="1"/>
    </xf>
    <xf numFmtId="0" fontId="9" fillId="4" borderId="0" xfId="0" applyFont="1" applyFill="1"/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top"/>
    </xf>
    <xf numFmtId="0" fontId="9" fillId="6" borderId="1" xfId="0" applyFont="1" applyFill="1" applyBorder="1" applyAlignment="1">
      <alignment horizontal="center" vertical="top"/>
    </xf>
    <xf numFmtId="49" fontId="18" fillId="2" borderId="1" xfId="0" applyNumberFormat="1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3" fillId="7" borderId="1" xfId="0" applyNumberFormat="1" applyFont="1" applyFill="1" applyBorder="1" applyAlignment="1">
      <alignment vertical="top" wrapText="1"/>
    </xf>
    <xf numFmtId="0" fontId="12" fillId="7" borderId="1" xfId="0" applyFont="1" applyFill="1" applyBorder="1" applyAlignment="1">
      <alignment horizontal="left" vertical="top" wrapText="1"/>
    </xf>
    <xf numFmtId="0" fontId="9" fillId="8" borderId="1" xfId="0" applyFont="1" applyFill="1" applyBorder="1" applyAlignment="1">
      <alignment horizontal="right" vertical="top"/>
    </xf>
    <xf numFmtId="0" fontId="9" fillId="7" borderId="1" xfId="0" applyFont="1" applyFill="1" applyBorder="1"/>
    <xf numFmtId="2" fontId="9" fillId="7" borderId="1" xfId="0" applyNumberFormat="1" applyFont="1" applyFill="1" applyBorder="1"/>
    <xf numFmtId="0" fontId="11" fillId="7" borderId="1" xfId="0" applyFont="1" applyFill="1" applyBorder="1" applyAlignment="1">
      <alignment horizontal="center" vertical="top" wrapText="1"/>
    </xf>
    <xf numFmtId="49" fontId="13" fillId="7" borderId="1" xfId="0" applyNumberFormat="1" applyFont="1" applyFill="1" applyBorder="1" applyAlignment="1">
      <alignment horizontal="center" vertical="center" wrapText="1"/>
    </xf>
    <xf numFmtId="4" fontId="14" fillId="9" borderId="2" xfId="2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/>
    </xf>
    <xf numFmtId="4" fontId="14" fillId="7" borderId="1" xfId="2" applyNumberFormat="1" applyFont="1" applyFill="1" applyBorder="1" applyAlignment="1">
      <alignment horizontal="center"/>
    </xf>
    <xf numFmtId="0" fontId="12" fillId="7" borderId="1" xfId="0" applyFont="1" applyFill="1" applyBorder="1" applyAlignment="1">
      <alignment horizontal="left" vertical="center" wrapText="1"/>
    </xf>
    <xf numFmtId="4" fontId="15" fillId="7" borderId="1" xfId="2" applyNumberFormat="1" applyFont="1" applyFill="1" applyBorder="1" applyAlignment="1">
      <alignment horizontal="center" vertical="center"/>
    </xf>
    <xf numFmtId="49" fontId="13" fillId="7" borderId="1" xfId="0" applyNumberFormat="1" applyFont="1" applyFill="1" applyBorder="1" applyAlignment="1">
      <alignment horizontal="left" vertical="top" wrapText="1"/>
    </xf>
    <xf numFmtId="0" fontId="12" fillId="7" borderId="1" xfId="0" applyFont="1" applyFill="1" applyBorder="1" applyAlignment="1">
      <alignment horizontal="left" wrapText="1"/>
    </xf>
    <xf numFmtId="0" fontId="12" fillId="7" borderId="1" xfId="0" quotePrefix="1" applyFont="1" applyFill="1" applyBorder="1" applyAlignment="1">
      <alignment horizontal="center" vertical="center"/>
    </xf>
    <xf numFmtId="0" fontId="12" fillId="2" borderId="1" xfId="0" quotePrefix="1" applyFont="1" applyFill="1" applyBorder="1" applyAlignment="1">
      <alignment horizontal="center" vertical="center"/>
    </xf>
    <xf numFmtId="0" fontId="12" fillId="7" borderId="1" xfId="0" quotePrefix="1" applyFont="1" applyFill="1" applyBorder="1" applyAlignment="1">
      <alignment vertical="center"/>
    </xf>
    <xf numFmtId="0" fontId="12" fillId="2" borderId="1" xfId="0" quotePrefix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/>
    </xf>
    <xf numFmtId="0" fontId="9" fillId="7" borderId="1" xfId="0" applyFont="1" applyFill="1" applyBorder="1" applyAlignment="1">
      <alignment horizontal="right"/>
    </xf>
    <xf numFmtId="2" fontId="9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9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12" fillId="7" borderId="1" xfId="0" applyFont="1" applyFill="1" applyBorder="1" applyAlignment="1">
      <alignment horizontal="center" wrapText="1"/>
    </xf>
    <xf numFmtId="0" fontId="12" fillId="4" borderId="1" xfId="0" applyFont="1" applyFill="1" applyBorder="1" applyAlignment="1">
      <alignment horizontal="center" wrapText="1"/>
    </xf>
    <xf numFmtId="0" fontId="12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2" fillId="2" borderId="0" xfId="0" applyFont="1" applyFill="1" applyAlignment="1">
      <alignment horizontal="center" wrapText="1"/>
    </xf>
    <xf numFmtId="0" fontId="16" fillId="4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9" fillId="2" borderId="0" xfId="0" applyFont="1" applyFill="1" applyAlignment="1">
      <alignment horizontal="center"/>
    </xf>
    <xf numFmtId="0" fontId="23" fillId="0" borderId="0" xfId="0" applyFont="1"/>
    <xf numFmtId="0" fontId="20" fillId="0" borderId="0" xfId="0" applyFont="1"/>
    <xf numFmtId="0" fontId="22" fillId="0" borderId="0" xfId="0" applyFont="1" applyAlignment="1">
      <alignment vertical="center"/>
    </xf>
    <xf numFmtId="0" fontId="10" fillId="0" borderId="0" xfId="0" applyFont="1"/>
    <xf numFmtId="0" fontId="20" fillId="0" borderId="0" xfId="0" applyFont="1" applyAlignment="1">
      <alignment vertical="center"/>
    </xf>
    <xf numFmtId="0" fontId="24" fillId="0" borderId="0" xfId="0" applyFont="1"/>
    <xf numFmtId="0" fontId="9" fillId="10" borderId="3" xfId="2" applyFont="1" applyFill="1" applyBorder="1" applyAlignment="1">
      <alignment vertical="center"/>
    </xf>
    <xf numFmtId="4" fontId="14" fillId="10" borderId="2" xfId="2" applyNumberFormat="1" applyFont="1" applyFill="1" applyBorder="1"/>
    <xf numFmtId="4" fontId="14" fillId="10" borderId="2" xfId="2" applyNumberFormat="1" applyFont="1" applyFill="1" applyBorder="1" applyAlignment="1">
      <alignment vertical="center"/>
    </xf>
    <xf numFmtId="4" fontId="11" fillId="10" borderId="2" xfId="2" applyNumberFormat="1" applyFont="1" applyFill="1" applyBorder="1" applyAlignment="1">
      <alignment horizontal="right" vertical="center"/>
    </xf>
    <xf numFmtId="0" fontId="26" fillId="4" borderId="1" xfId="0" applyFont="1" applyFill="1" applyBorder="1" applyAlignment="1">
      <alignment horizontal="center" wrapText="1"/>
    </xf>
    <xf numFmtId="2" fontId="9" fillId="11" borderId="1" xfId="0" applyNumberFormat="1" applyFont="1" applyFill="1" applyBorder="1"/>
    <xf numFmtId="0" fontId="28" fillId="2" borderId="0" xfId="0" applyFont="1" applyFill="1"/>
    <xf numFmtId="0" fontId="28" fillId="4" borderId="0" xfId="0" applyFont="1" applyFill="1"/>
    <xf numFmtId="0" fontId="30" fillId="14" borderId="1" xfId="7" quotePrefix="1" applyBorder="1" applyAlignment="1">
      <alignment horizontal="center" vertical="center"/>
    </xf>
    <xf numFmtId="49" fontId="30" fillId="14" borderId="1" xfId="7" applyNumberFormat="1" applyBorder="1" applyAlignment="1">
      <alignment horizontal="left" vertical="top" wrapText="1"/>
    </xf>
    <xf numFmtId="0" fontId="30" fillId="14" borderId="1" xfId="7" applyBorder="1" applyAlignment="1">
      <alignment horizontal="left" vertical="top" wrapText="1"/>
    </xf>
    <xf numFmtId="0" fontId="30" fillId="14" borderId="1" xfId="7" applyBorder="1" applyAlignment="1">
      <alignment horizontal="center" wrapText="1"/>
    </xf>
    <xf numFmtId="0" fontId="30" fillId="14" borderId="1" xfId="7" applyBorder="1"/>
    <xf numFmtId="0" fontId="30" fillId="14" borderId="1" xfId="7" applyBorder="1" applyAlignment="1">
      <alignment horizontal="right"/>
    </xf>
    <xf numFmtId="2" fontId="30" fillId="14" borderId="1" xfId="7" applyNumberFormat="1" applyBorder="1"/>
    <xf numFmtId="49" fontId="30" fillId="14" borderId="1" xfId="7" applyNumberFormat="1" applyBorder="1" applyAlignment="1">
      <alignment vertical="top" wrapText="1"/>
    </xf>
    <xf numFmtId="0" fontId="30" fillId="14" borderId="1" xfId="7" applyBorder="1" applyAlignment="1">
      <alignment horizontal="center" vertical="center"/>
    </xf>
    <xf numFmtId="2" fontId="30" fillId="14" borderId="1" xfId="7" applyNumberFormat="1" applyBorder="1" applyAlignment="1">
      <alignment horizontal="right"/>
    </xf>
    <xf numFmtId="0" fontId="30" fillId="14" borderId="0" xfId="7"/>
    <xf numFmtId="16" fontId="9" fillId="2" borderId="0" xfId="0" applyNumberFormat="1" applyFont="1" applyFill="1"/>
    <xf numFmtId="0" fontId="30" fillId="14" borderId="1" xfId="7" applyBorder="1" applyAlignment="1">
      <alignment horizontal="right" vertical="top"/>
    </xf>
    <xf numFmtId="0" fontId="30" fillId="14" borderId="1" xfId="7" applyBorder="1" applyAlignment="1">
      <alignment horizontal="center" vertical="top" wrapText="1"/>
    </xf>
    <xf numFmtId="0" fontId="30" fillId="14" borderId="1" xfId="7" applyBorder="1" applyAlignment="1">
      <alignment horizontal="center"/>
    </xf>
    <xf numFmtId="0" fontId="30" fillId="14" borderId="1" xfId="7" applyBorder="1" applyAlignment="1">
      <alignment horizontal="center" vertical="top"/>
    </xf>
    <xf numFmtId="0" fontId="29" fillId="13" borderId="1" xfId="6" quotePrefix="1" applyBorder="1" applyAlignment="1">
      <alignment horizontal="center" vertical="center"/>
    </xf>
    <xf numFmtId="0" fontId="29" fillId="13" borderId="1" xfId="6" applyBorder="1" applyAlignment="1">
      <alignment horizontal="right"/>
    </xf>
    <xf numFmtId="0" fontId="29" fillId="13" borderId="1" xfId="6" applyBorder="1"/>
    <xf numFmtId="49" fontId="29" fillId="13" borderId="1" xfId="6" applyNumberFormat="1" applyBorder="1" applyAlignment="1">
      <alignment horizontal="left" vertical="top" wrapText="1"/>
    </xf>
    <xf numFmtId="0" fontId="29" fillId="13" borderId="1" xfId="6" applyBorder="1" applyAlignment="1">
      <alignment horizontal="left" vertical="center" wrapText="1"/>
    </xf>
    <xf numFmtId="0" fontId="29" fillId="13" borderId="1" xfId="6" applyBorder="1" applyAlignment="1">
      <alignment horizontal="center" wrapText="1"/>
    </xf>
    <xf numFmtId="2" fontId="29" fillId="13" borderId="1" xfId="6" applyNumberFormat="1" applyBorder="1"/>
    <xf numFmtId="16" fontId="9" fillId="4" borderId="0" xfId="0" applyNumberFormat="1" applyFont="1" applyFill="1"/>
    <xf numFmtId="2" fontId="9" fillId="2" borderId="0" xfId="0" applyNumberFormat="1" applyFont="1" applyFill="1" applyAlignment="1">
      <alignment horizontal="right"/>
    </xf>
    <xf numFmtId="2" fontId="9" fillId="2" borderId="0" xfId="0" applyNumberFormat="1" applyFont="1" applyFill="1"/>
    <xf numFmtId="0" fontId="9" fillId="2" borderId="0" xfId="0" applyFont="1" applyFill="1" applyAlignment="1">
      <alignment wrapText="1"/>
    </xf>
    <xf numFmtId="0" fontId="21" fillId="2" borderId="0" xfId="0" applyFont="1" applyFill="1" applyAlignment="1">
      <alignment horizontal="center" vertical="top" wrapText="1"/>
    </xf>
    <xf numFmtId="0" fontId="9" fillId="2" borderId="0" xfId="0" applyFont="1" applyFill="1" applyAlignment="1">
      <alignment horizontal="left" vertical="top" wrapText="1"/>
    </xf>
    <xf numFmtId="0" fontId="34" fillId="15" borderId="7" xfId="8" applyFont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wrapText="1"/>
    </xf>
    <xf numFmtId="0" fontId="14" fillId="0" borderId="0" xfId="0" applyFont="1" applyAlignment="1">
      <alignment vertical="center"/>
    </xf>
    <xf numFmtId="0" fontId="35" fillId="15" borderId="0" xfId="8" applyFont="1" applyBorder="1" applyAlignment="1">
      <alignment horizontal="center" vertical="center" wrapText="1"/>
    </xf>
    <xf numFmtId="0" fontId="35" fillId="15" borderId="14" xfId="8" applyFont="1" applyBorder="1" applyAlignment="1">
      <alignment horizontal="center" vertical="center" wrapText="1"/>
    </xf>
    <xf numFmtId="0" fontId="35" fillId="15" borderId="23" xfId="8" applyFont="1" applyBorder="1" applyAlignment="1">
      <alignment horizontal="center" vertical="center" wrapText="1"/>
    </xf>
    <xf numFmtId="0" fontId="35" fillId="15" borderId="25" xfId="8" applyFont="1" applyBorder="1" applyAlignment="1">
      <alignment horizontal="center" vertical="center" wrapText="1"/>
    </xf>
    <xf numFmtId="0" fontId="14" fillId="16" borderId="5" xfId="0" applyFont="1" applyFill="1" applyBorder="1" applyAlignment="1">
      <alignment vertical="center" wrapText="1"/>
    </xf>
    <xf numFmtId="0" fontId="14" fillId="16" borderId="6" xfId="0" applyFont="1" applyFill="1" applyBorder="1" applyAlignment="1">
      <alignment vertical="center" wrapText="1"/>
    </xf>
    <xf numFmtId="0" fontId="36" fillId="2" borderId="17" xfId="0" applyFont="1" applyFill="1" applyBorder="1" applyAlignment="1">
      <alignment horizontal="center" vertical="center"/>
    </xf>
    <xf numFmtId="0" fontId="36" fillId="2" borderId="5" xfId="0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center" vertical="center"/>
    </xf>
    <xf numFmtId="0" fontId="36" fillId="2" borderId="4" xfId="0" applyFont="1" applyFill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12" fillId="6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4" fillId="16" borderId="5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 wrapText="1"/>
    </xf>
    <xf numFmtId="0" fontId="46" fillId="2" borderId="0" xfId="0" applyFont="1" applyFill="1" applyAlignment="1">
      <alignment horizontal="left" wrapText="1"/>
    </xf>
    <xf numFmtId="0" fontId="46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0" fontId="14" fillId="17" borderId="0" xfId="0" applyFont="1" applyFill="1" applyAlignment="1">
      <alignment vertical="center"/>
    </xf>
    <xf numFmtId="2" fontId="20" fillId="0" borderId="1" xfId="0" applyNumberFormat="1" applyFont="1" applyBorder="1" applyAlignment="1">
      <alignment vertical="center"/>
    </xf>
    <xf numFmtId="2" fontId="20" fillId="0" borderId="1" xfId="0" applyNumberFormat="1" applyFont="1" applyBorder="1" applyAlignment="1">
      <alignment horizontal="right" vertical="center"/>
    </xf>
    <xf numFmtId="49" fontId="47" fillId="0" borderId="6" xfId="0" applyNumberFormat="1" applyFont="1" applyBorder="1" applyAlignment="1">
      <alignment horizontal="left" vertical="center" wrapText="1"/>
    </xf>
    <xf numFmtId="49" fontId="22" fillId="0" borderId="0" xfId="0" quotePrefix="1" applyNumberFormat="1" applyFont="1" applyAlignment="1">
      <alignment horizontal="right" vertical="center"/>
    </xf>
    <xf numFmtId="49" fontId="22" fillId="0" borderId="14" xfId="0" quotePrefix="1" applyNumberFormat="1" applyFont="1" applyBorder="1" applyAlignment="1">
      <alignment horizontal="right" vertical="center"/>
    </xf>
    <xf numFmtId="2" fontId="20" fillId="0" borderId="5" xfId="0" applyNumberFormat="1" applyFont="1" applyBorder="1" applyAlignment="1">
      <alignment vertical="center"/>
    </xf>
    <xf numFmtId="2" fontId="20" fillId="0" borderId="5" xfId="0" applyNumberFormat="1" applyFont="1" applyBorder="1" applyAlignment="1">
      <alignment horizontal="right" vertical="center"/>
    </xf>
    <xf numFmtId="49" fontId="47" fillId="0" borderId="5" xfId="0" applyNumberFormat="1" applyFont="1" applyBorder="1" applyAlignment="1">
      <alignment horizontal="left" vertical="center" wrapText="1"/>
    </xf>
    <xf numFmtId="49" fontId="47" fillId="0" borderId="0" xfId="0" quotePrefix="1" applyNumberFormat="1" applyFont="1" applyAlignment="1">
      <alignment horizontal="center" vertical="center"/>
    </xf>
    <xf numFmtId="0" fontId="47" fillId="0" borderId="14" xfId="0" applyFont="1" applyBorder="1" applyAlignment="1">
      <alignment horizontal="right" vertical="center" wrapText="1"/>
    </xf>
    <xf numFmtId="0" fontId="47" fillId="0" borderId="14" xfId="0" applyFont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/>
    </xf>
    <xf numFmtId="0" fontId="10" fillId="0" borderId="1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left" vertical="top" wrapText="1"/>
    </xf>
    <xf numFmtId="0" fontId="10" fillId="5" borderId="5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14" xfId="0" applyFont="1" applyFill="1" applyBorder="1" applyAlignment="1">
      <alignment horizontal="center"/>
    </xf>
    <xf numFmtId="0" fontId="10" fillId="5" borderId="15" xfId="0" applyFont="1" applyFill="1" applyBorder="1" applyAlignment="1">
      <alignment horizontal="center"/>
    </xf>
    <xf numFmtId="0" fontId="10" fillId="0" borderId="18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49" fontId="20" fillId="2" borderId="4" xfId="0" applyNumberFormat="1" applyFont="1" applyFill="1" applyBorder="1" applyAlignment="1">
      <alignment horizontal="center" vertical="center"/>
    </xf>
    <xf numFmtId="49" fontId="22" fillId="16" borderId="4" xfId="0" quotePrefix="1" applyNumberFormat="1" applyFont="1" applyFill="1" applyBorder="1" applyAlignment="1">
      <alignment horizontal="center" vertical="center"/>
    </xf>
    <xf numFmtId="49" fontId="22" fillId="17" borderId="4" xfId="0" quotePrefix="1" applyNumberFormat="1" applyFont="1" applyFill="1" applyBorder="1" applyAlignment="1">
      <alignment horizontal="center" vertical="center"/>
    </xf>
    <xf numFmtId="49" fontId="10" fillId="2" borderId="0" xfId="0" applyNumberFormat="1" applyFont="1" applyFill="1" applyAlignment="1">
      <alignment horizontal="center"/>
    </xf>
    <xf numFmtId="0" fontId="46" fillId="16" borderId="4" xfId="0" applyFont="1" applyFill="1" applyBorder="1" applyAlignment="1">
      <alignment vertical="center" wrapText="1"/>
    </xf>
    <xf numFmtId="49" fontId="22" fillId="0" borderId="4" xfId="0" quotePrefix="1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2" fontId="20" fillId="0" borderId="2" xfId="0" applyNumberFormat="1" applyFont="1" applyBorder="1" applyAlignment="1">
      <alignment vertical="center"/>
    </xf>
    <xf numFmtId="2" fontId="20" fillId="0" borderId="2" xfId="0" applyNumberFormat="1" applyFont="1" applyBorder="1" applyAlignment="1">
      <alignment horizontal="right" vertical="center"/>
    </xf>
    <xf numFmtId="0" fontId="46" fillId="0" borderId="0" xfId="0" applyFont="1" applyAlignment="1">
      <alignment vertical="center"/>
    </xf>
    <xf numFmtId="0" fontId="46" fillId="17" borderId="0" xfId="0" applyFont="1" applyFill="1" applyAlignment="1">
      <alignment vertical="center"/>
    </xf>
    <xf numFmtId="0" fontId="46" fillId="16" borderId="1" xfId="0" applyFont="1" applyFill="1" applyBorder="1" applyAlignment="1">
      <alignment horizontal="center" vertical="center"/>
    </xf>
    <xf numFmtId="0" fontId="46" fillId="16" borderId="14" xfId="0" applyFont="1" applyFill="1" applyBorder="1" applyAlignment="1">
      <alignment vertical="center" wrapText="1"/>
    </xf>
    <xf numFmtId="0" fontId="46" fillId="16" borderId="5" xfId="0" applyFont="1" applyFill="1" applyBorder="1" applyAlignment="1">
      <alignment vertical="center" wrapText="1"/>
    </xf>
    <xf numFmtId="0" fontId="46" fillId="16" borderId="6" xfId="0" applyFont="1" applyFill="1" applyBorder="1" applyAlignment="1">
      <alignment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0" borderId="2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left" vertical="center" wrapText="1"/>
    </xf>
    <xf numFmtId="0" fontId="10" fillId="0" borderId="2" xfId="10" applyFont="1" applyBorder="1" applyAlignment="1">
      <alignment horizontal="center" vertical="center" wrapText="1"/>
    </xf>
    <xf numFmtId="0" fontId="10" fillId="0" borderId="27" xfId="10" applyFont="1" applyBorder="1" applyAlignment="1">
      <alignment horizontal="center" vertical="center" wrapText="1"/>
    </xf>
    <xf numFmtId="2" fontId="10" fillId="2" borderId="1" xfId="10" applyNumberFormat="1" applyFont="1" applyFill="1" applyBorder="1" applyAlignment="1">
      <alignment horizontal="center" vertical="center" wrapText="1"/>
    </xf>
    <xf numFmtId="49" fontId="20" fillId="0" borderId="17" xfId="0" applyNumberFormat="1" applyFont="1" applyBorder="1" applyAlignment="1">
      <alignment horizontal="left" vertical="center" wrapText="1"/>
    </xf>
    <xf numFmtId="49" fontId="22" fillId="17" borderId="4" xfId="0" quotePrefix="1" applyNumberFormat="1" applyFont="1" applyFill="1" applyBorder="1" applyAlignment="1">
      <alignment horizontal="left" vertical="center"/>
    </xf>
    <xf numFmtId="49" fontId="22" fillId="17" borderId="5" xfId="0" quotePrefix="1" applyNumberFormat="1" applyFont="1" applyFill="1" applyBorder="1" applyAlignment="1">
      <alignment horizontal="left" vertical="center"/>
    </xf>
    <xf numFmtId="49" fontId="22" fillId="17" borderId="6" xfId="0" quotePrefix="1" applyNumberFormat="1" applyFont="1" applyFill="1" applyBorder="1" applyAlignment="1">
      <alignment horizontal="left" vertical="center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49" fontId="22" fillId="0" borderId="1" xfId="0" quotePrefix="1" applyNumberFormat="1" applyFont="1" applyBorder="1" applyAlignment="1">
      <alignment horizontal="right" vertical="center"/>
    </xf>
    <xf numFmtId="0" fontId="10" fillId="2" borderId="0" xfId="0" applyFont="1" applyFill="1" applyAlignment="1">
      <alignment horizontal="left" wrapText="1"/>
    </xf>
    <xf numFmtId="0" fontId="10" fillId="0" borderId="1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34" fillId="15" borderId="7" xfId="8" applyFont="1" applyAlignment="1">
      <alignment horizontal="center" vertical="top" wrapText="1"/>
    </xf>
    <xf numFmtId="0" fontId="10" fillId="2" borderId="0" xfId="0" applyFont="1" applyFill="1" applyAlignment="1">
      <alignment horizontal="center" wrapText="1"/>
    </xf>
    <xf numFmtId="0" fontId="10" fillId="5" borderId="10" xfId="0" applyFont="1" applyFill="1" applyBorder="1" applyAlignment="1">
      <alignment horizontal="center"/>
    </xf>
    <xf numFmtId="0" fontId="10" fillId="5" borderId="5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6" borderId="28" xfId="0" applyFont="1" applyFill="1" applyBorder="1" applyAlignment="1">
      <alignment horizontal="left" vertical="center" wrapText="1"/>
    </xf>
    <xf numFmtId="0" fontId="10" fillId="6" borderId="9" xfId="0" applyFont="1" applyFill="1" applyBorder="1" applyAlignment="1">
      <alignment horizontal="left" vertical="center" wrapText="1"/>
    </xf>
    <xf numFmtId="0" fontId="10" fillId="6" borderId="29" xfId="0" applyFont="1" applyFill="1" applyBorder="1" applyAlignment="1">
      <alignment horizontal="left" vertical="center" wrapText="1"/>
    </xf>
    <xf numFmtId="49" fontId="22" fillId="15" borderId="21" xfId="8" applyNumberFormat="1" applyFont="1" applyBorder="1" applyAlignment="1">
      <alignment horizontal="center" vertical="center" wrapText="1"/>
    </xf>
    <xf numFmtId="2" fontId="34" fillId="15" borderId="7" xfId="8" applyNumberFormat="1" applyFont="1" applyAlignment="1">
      <alignment horizontal="center" vertical="center" wrapText="1"/>
    </xf>
    <xf numFmtId="0" fontId="34" fillId="15" borderId="7" xfId="8" applyFont="1" applyAlignment="1">
      <alignment horizontal="center" vertical="center"/>
    </xf>
    <xf numFmtId="0" fontId="34" fillId="15" borderId="7" xfId="8" applyFont="1" applyAlignment="1">
      <alignment horizontal="center" vertical="center" wrapText="1"/>
    </xf>
    <xf numFmtId="0" fontId="34" fillId="15" borderId="22" xfId="8" applyFont="1" applyBorder="1" applyAlignment="1">
      <alignment horizontal="center" vertical="center" wrapText="1"/>
    </xf>
    <xf numFmtId="0" fontId="34" fillId="15" borderId="24" xfId="8" applyFont="1" applyBorder="1" applyAlignment="1">
      <alignment horizontal="center" vertical="center" wrapText="1"/>
    </xf>
    <xf numFmtId="0" fontId="34" fillId="15" borderId="20" xfId="8" applyFont="1" applyBorder="1" applyAlignment="1">
      <alignment horizontal="center" vertical="center" wrapText="1"/>
    </xf>
    <xf numFmtId="0" fontId="34" fillId="15" borderId="26" xfId="8" applyFont="1" applyBorder="1" applyAlignment="1">
      <alignment horizontal="center" vertical="center" wrapText="1"/>
    </xf>
    <xf numFmtId="0" fontId="34" fillId="15" borderId="2" xfId="8" applyFont="1" applyBorder="1" applyAlignment="1">
      <alignment horizontal="center" vertical="center" wrapText="1"/>
    </xf>
    <xf numFmtId="0" fontId="34" fillId="15" borderId="30" xfId="8" applyFont="1" applyBorder="1" applyAlignment="1">
      <alignment horizontal="center" vertical="center" wrapText="1"/>
    </xf>
    <xf numFmtId="0" fontId="34" fillId="15" borderId="31" xfId="8" applyFont="1" applyBorder="1" applyAlignment="1">
      <alignment horizontal="center" vertical="center" wrapText="1"/>
    </xf>
    <xf numFmtId="0" fontId="34" fillId="15" borderId="32" xfId="8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9" fillId="2" borderId="0" xfId="0" applyFont="1" applyFill="1" applyAlignment="1">
      <alignment horizontal="right"/>
    </xf>
    <xf numFmtId="0" fontId="34" fillId="15" borderId="13" xfId="8" applyFont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right" vertical="center" wrapText="1"/>
    </xf>
    <xf numFmtId="0" fontId="20" fillId="2" borderId="12" xfId="0" applyFont="1" applyFill="1" applyBorder="1" applyAlignment="1">
      <alignment horizontal="right" vertical="center"/>
    </xf>
    <xf numFmtId="0" fontId="10" fillId="2" borderId="11" xfId="0" applyFont="1" applyFill="1" applyBorder="1" applyAlignment="1">
      <alignment horizontal="left" vertical="top" wrapText="1"/>
    </xf>
    <xf numFmtId="0" fontId="33" fillId="2" borderId="12" xfId="0" applyFont="1" applyFill="1" applyBorder="1" applyAlignment="1">
      <alignment horizontal="left" vertical="center" wrapText="1"/>
    </xf>
    <xf numFmtId="49" fontId="22" fillId="0" borderId="4" xfId="0" quotePrefix="1" applyNumberFormat="1" applyFont="1" applyBorder="1" applyAlignment="1">
      <alignment horizontal="right" vertical="center"/>
    </xf>
    <xf numFmtId="49" fontId="22" fillId="0" borderId="5" xfId="0" quotePrefix="1" applyNumberFormat="1" applyFont="1" applyBorder="1" applyAlignment="1">
      <alignment horizontal="right" vertical="center"/>
    </xf>
    <xf numFmtId="49" fontId="22" fillId="0" borderId="6" xfId="0" quotePrefix="1" applyNumberFormat="1" applyFont="1" applyBorder="1" applyAlignment="1">
      <alignment horizontal="right" vertical="center"/>
    </xf>
    <xf numFmtId="0" fontId="10" fillId="2" borderId="0" xfId="0" applyFont="1" applyFill="1" applyAlignment="1">
      <alignment horizontal="center" vertical="top" wrapText="1"/>
    </xf>
    <xf numFmtId="0" fontId="2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/>
    </xf>
    <xf numFmtId="0" fontId="27" fillId="12" borderId="4" xfId="5" applyBorder="1" applyAlignment="1">
      <alignment horizontal="center" vertical="top" wrapText="1"/>
    </xf>
    <xf numFmtId="0" fontId="27" fillId="12" borderId="5" xfId="5" applyBorder="1" applyAlignment="1">
      <alignment horizontal="center" vertical="top" wrapText="1"/>
    </xf>
    <xf numFmtId="0" fontId="27" fillId="12" borderId="6" xfId="5" applyBorder="1" applyAlignment="1">
      <alignment horizontal="center" vertical="top" wrapText="1"/>
    </xf>
    <xf numFmtId="0" fontId="13" fillId="2" borderId="0" xfId="0" applyFont="1" applyFill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2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2" fontId="9" fillId="2" borderId="1" xfId="2" applyNumberFormat="1" applyFont="1" applyFill="1" applyBorder="1" applyAlignment="1">
      <alignment horizontal="center" vertical="center" wrapText="1"/>
    </xf>
    <xf numFmtId="0" fontId="27" fillId="12" borderId="4" xfId="5" quotePrefix="1" applyBorder="1" applyAlignment="1">
      <alignment horizontal="center" vertical="top"/>
    </xf>
    <xf numFmtId="0" fontId="27" fillId="12" borderId="5" xfId="5" quotePrefix="1" applyBorder="1" applyAlignment="1">
      <alignment horizontal="center" vertical="top"/>
    </xf>
    <xf numFmtId="0" fontId="27" fillId="12" borderId="6" xfId="5" quotePrefix="1" applyBorder="1" applyAlignment="1">
      <alignment horizontal="center" vertical="top"/>
    </xf>
  </cellXfs>
  <cellStyles count="141">
    <cellStyle name="Excel Built-in Normal" xfId="3" xr:uid="{00000000-0005-0000-0000-000000000000}"/>
    <cellStyle name="Excel Built-in Normal 2" xfId="89" xr:uid="{09AEE78F-C155-4BF9-B746-A18D342E98F1}"/>
    <cellStyle name="Excel Built-in Normal 3" xfId="114" xr:uid="{762C412E-DEAC-4C4C-B162-9835D2D40E69}"/>
    <cellStyle name="Вывод" xfId="8" builtinId="21"/>
    <cellStyle name="Денежный 2" xfId="19" xr:uid="{980241AB-5D7F-40C1-B3DB-75212119E567}"/>
    <cellStyle name="Денежный 2 2" xfId="20" xr:uid="{FEC50DEE-8110-4E15-ABDC-D38A5ACE727F}"/>
    <cellStyle name="Денежный 2 2 2" xfId="21" xr:uid="{7841A3AD-0352-44E0-B7E1-45A9BD931DB8}"/>
    <cellStyle name="Нейтральный" xfId="5" builtinId="28"/>
    <cellStyle name="Обычный" xfId="0" builtinId="0"/>
    <cellStyle name="Обычный 10" xfId="22" xr:uid="{65BE8335-E9FF-437F-BA5C-E297FDAF794F}"/>
    <cellStyle name="Обычный 11" xfId="23" xr:uid="{E70E2B03-3782-4DAA-A190-9218D5FBD1CE}"/>
    <cellStyle name="Обычный 11 2" xfId="90" xr:uid="{5FEB8561-82C3-4F2C-919C-CACF87728D2B}"/>
    <cellStyle name="Обычный 12" xfId="24" xr:uid="{E6EE251B-B14D-4711-A1CF-DC25CC504236}"/>
    <cellStyle name="Обычный 13" xfId="25" xr:uid="{5E6560A9-2E7A-4B10-A635-0311971C2E81}"/>
    <cellStyle name="Обычный 14" xfId="26" xr:uid="{058355A5-AADF-4622-9244-DDDDC91E2855}"/>
    <cellStyle name="Обычный 15" xfId="27" xr:uid="{1213D23B-9997-4452-B8A8-91F969CD4895}"/>
    <cellStyle name="Обычный 16" xfId="16" xr:uid="{46665A4E-8546-430A-B608-E1911C910118}"/>
    <cellStyle name="Обычный 17" xfId="112" xr:uid="{E163E08E-DEC5-41F3-A48F-554654A5C16C}"/>
    <cellStyle name="Обычный 2" xfId="2" xr:uid="{00000000-0005-0000-0000-000004000000}"/>
    <cellStyle name="Обычный 2 10" xfId="28" xr:uid="{1E69F3D4-7EC7-4BB0-8BEB-2727CEB73981}"/>
    <cellStyle name="Обычный 2 10 27 3 2 2" xfId="9" xr:uid="{00000000-0005-0000-0000-000005000000}"/>
    <cellStyle name="Обычный 2 11" xfId="113" xr:uid="{E3B81C2F-1A73-4153-A1C2-94FE7683F44D}"/>
    <cellStyle name="Обычный 2 2" xfId="11" xr:uid="{6466B638-5AE6-4234-95A3-AFFD46F040ED}"/>
    <cellStyle name="Обычный 2 2 12" xfId="30" xr:uid="{F2014651-9C5F-46C0-B2DE-2636CB4F35E5}"/>
    <cellStyle name="Обычный 2 2 2" xfId="31" xr:uid="{AB6A4166-9BDE-4230-891B-F816CB06959D}"/>
    <cellStyle name="Обычный 2 2 3" xfId="91" xr:uid="{92019D8E-CEBE-4CEB-8AFF-8442B2D54592}"/>
    <cellStyle name="Обычный 2 2 4" xfId="29" xr:uid="{BAEAE6EF-13B1-45D1-ABF9-985D837FE7F3}"/>
    <cellStyle name="Обычный 2 3" xfId="32" xr:uid="{1A8CF26B-2D1E-4333-B9FF-4ACFB3293BBB}"/>
    <cellStyle name="Обычный 2 3 2" xfId="33" xr:uid="{EA0E6B3E-6956-4DC3-80D0-26C1B18FA819}"/>
    <cellStyle name="Обычный 2 3 3" xfId="34" xr:uid="{EFCB8877-1938-4F10-BF4F-7812AB1F2EB7}"/>
    <cellStyle name="Обычный 2 3 4" xfId="35" xr:uid="{452174E7-D313-43E6-BEA0-03EB11C37652}"/>
    <cellStyle name="Обычный 2 4" xfId="36" xr:uid="{196E793C-2FC5-43F7-8B51-DD07BCF8D182}"/>
    <cellStyle name="Обычный 2 4 2" xfId="37" xr:uid="{19C4201B-12C9-41BC-8594-8E2A8C2742DE}"/>
    <cellStyle name="Обычный 2 4 3" xfId="38" xr:uid="{4C5596A5-3E2E-4C3A-BBCA-981182A27FD2}"/>
    <cellStyle name="Обычный 2 5" xfId="39" xr:uid="{09645D64-94CB-4ACB-ADE7-7632FE8741AB}"/>
    <cellStyle name="Обычный 2 5 2" xfId="40" xr:uid="{E2C56056-0533-49B3-9F19-2F2AE10B9F34}"/>
    <cellStyle name="Обычный 2 5 3" xfId="41" xr:uid="{16845CB9-2E69-4742-8A70-1132ED53B127}"/>
    <cellStyle name="Обычный 2 6" xfId="42" xr:uid="{113FC458-0669-4C79-891E-68318EC905B5}"/>
    <cellStyle name="Обычный 2 7" xfId="43" xr:uid="{4FEAD20A-63E7-4883-A164-3C5DADB0731C}"/>
    <cellStyle name="Обычный 2 7 3" xfId="44" xr:uid="{136C7CD7-4FED-4584-841A-28D068D7841B}"/>
    <cellStyle name="Обычный 2 8" xfId="45" xr:uid="{D8D6D89D-C3A8-4262-B5B8-77ACE3F7639D}"/>
    <cellStyle name="Обычный 2 9" xfId="46" xr:uid="{AD1F5C3E-81AF-40AD-A9C6-D1A35F70BA3F}"/>
    <cellStyle name="Обычный 3" xfId="1" xr:uid="{00000000-0005-0000-0000-000006000000}"/>
    <cellStyle name="Обычный 3 10" xfId="115" xr:uid="{686F9545-5943-4759-9A22-679C7FA60437}"/>
    <cellStyle name="Обычный 3 10 2" xfId="139" xr:uid="{33138226-12AC-47FB-86BC-C87EB92F58AC}"/>
    <cellStyle name="Обычный 3 11" xfId="117" xr:uid="{BC2FB77D-09CC-4A59-97F0-7746334408B7}"/>
    <cellStyle name="Обычный 3 2" xfId="4" xr:uid="{00000000-0005-0000-0000-000007000000}"/>
    <cellStyle name="Обычный 3 2 2" xfId="15" xr:uid="{816A38F8-5917-465D-9EED-C6AD19DC238D}"/>
    <cellStyle name="Обычный 3 2 2 2" xfId="49" xr:uid="{6C79C145-C7B3-416E-A1D0-1E92E4D54F05}"/>
    <cellStyle name="Обычный 3 2 2 2 2" xfId="111" xr:uid="{DA45C912-CC75-49AD-9772-0DE63BEB3685}"/>
    <cellStyle name="Обычный 3 2 2 2 2 2" xfId="138" xr:uid="{193C20A8-0640-4C5D-913C-5B2695A055BB}"/>
    <cellStyle name="Обычный 3 2 2 3" xfId="99" xr:uid="{F97E3AC9-7C32-4D51-B3D9-F2D2706898E3}"/>
    <cellStyle name="Обычный 3 2 2 3 2" xfId="128" xr:uid="{76DEFFE4-9CCB-455A-85CD-7728A11A1CB7}"/>
    <cellStyle name="Обычный 3 2 2 4" xfId="106" xr:uid="{4AE6D152-551F-4111-8608-1DE1F256346F}"/>
    <cellStyle name="Обычный 3 2 2 4 2" xfId="134" xr:uid="{A5CA63C0-DA94-42DA-8159-4BAF775EA66E}"/>
    <cellStyle name="Обычный 3 2 2 5" xfId="122" xr:uid="{6CBFEDCB-E471-446E-B584-2215BE362888}"/>
    <cellStyle name="Обычный 3 2 3" xfId="48" xr:uid="{D5A01C1F-D20D-404A-B939-092F7DD10CD8}"/>
    <cellStyle name="Обычный 3 2 3 2" xfId="104" xr:uid="{04AEA924-D901-439B-9E3C-1ACD31994219}"/>
    <cellStyle name="Обычный 3 2 3 2 2" xfId="132" xr:uid="{B01D57B8-5AB1-44E3-9CCF-007D4A2B2802}"/>
    <cellStyle name="Обычный 3 2 4" xfId="95" xr:uid="{DEC1580A-4287-4B45-9131-3599859E3410}"/>
    <cellStyle name="Обычный 3 2 4 2" xfId="109" xr:uid="{E1A32B52-C26D-4D41-9569-2C32BEDF41A8}"/>
    <cellStyle name="Обычный 3 2 4 2 2" xfId="136" xr:uid="{5EE366A2-8189-4866-B81B-B2E7F3D833B5}"/>
    <cellStyle name="Обычный 3 2 4 3" xfId="124" xr:uid="{46E84A9B-8033-4CC1-A776-23404A8520F0}"/>
    <cellStyle name="Обычный 3 2 5" xfId="97" xr:uid="{378BBD2E-ACAF-4E92-BF56-80E3A6373EC7}"/>
    <cellStyle name="Обычный 3 2 5 2" xfId="126" xr:uid="{29510BF1-21DC-4475-83D1-C30BDED5B3E5}"/>
    <cellStyle name="Обычный 3 2 6" xfId="101" xr:uid="{DA840FA0-60F4-44C9-9A01-646023FB85FE}"/>
    <cellStyle name="Обычный 3 2 6 2" xfId="130" xr:uid="{259F967E-7529-4769-ACF5-AAD1F122CE54}"/>
    <cellStyle name="Обычный 3 2 7" xfId="13" xr:uid="{2DB81C1D-94B0-4AD4-A0E0-C239E09DE680}"/>
    <cellStyle name="Обычный 3 2 7 2" xfId="120" xr:uid="{4F1BC0B4-9CD5-43A3-9DF2-358ADA0EF063}"/>
    <cellStyle name="Обычный 3 2 8" xfId="116" xr:uid="{19CF7D45-BA03-4BC8-B2F7-EB848D686DCA}"/>
    <cellStyle name="Обычный 3 2 8 2" xfId="140" xr:uid="{8EADCF51-2E7B-4388-95F9-8A216C4A18CA}"/>
    <cellStyle name="Обычный 3 2 9" xfId="118" xr:uid="{393BA8B9-9914-4ED5-97BD-841A046B6361}"/>
    <cellStyle name="Обычный 3 3" xfId="14" xr:uid="{F2354D91-E5B1-4326-AA65-77569B8CC8ED}"/>
    <cellStyle name="Обычный 3 3 2" xfId="50" xr:uid="{3BA27EF4-2B18-412B-8D39-0E93D182C648}"/>
    <cellStyle name="Обычный 3 3 2 2" xfId="110" xr:uid="{8388FA3A-04F6-473F-BF60-6AE1099F0CC3}"/>
    <cellStyle name="Обычный 3 3 2 2 2" xfId="137" xr:uid="{C8BA08C7-5216-4A87-97E3-170489AEDA59}"/>
    <cellStyle name="Обычный 3 3 3" xfId="98" xr:uid="{89162C2F-D0E1-4A53-97D8-8BEB6082A62D}"/>
    <cellStyle name="Обычный 3 3 3 2" xfId="127" xr:uid="{9EB6640E-0299-4090-BD3A-3CAF9701E7B4}"/>
    <cellStyle name="Обычный 3 3 4" xfId="105" xr:uid="{71578D62-F470-46BD-B5F7-41C250CC4A39}"/>
    <cellStyle name="Обычный 3 3 4 2" xfId="133" xr:uid="{345B4C11-5A93-4207-8113-CA406390AE5C}"/>
    <cellStyle name="Обычный 3 3 5" xfId="121" xr:uid="{5B9F189F-8A0E-4158-BE6A-D26897DC1607}"/>
    <cellStyle name="Обычный 3 4" xfId="51" xr:uid="{5640A8E9-3ECC-43BE-90F6-4F3B6790B2BC}"/>
    <cellStyle name="Обычный 3 4 2" xfId="103" xr:uid="{5DD25703-C940-48FE-9BC1-7C00FC8B3965}"/>
    <cellStyle name="Обычный 3 4 2 2" xfId="131" xr:uid="{B899AA8E-48A8-4C6F-B2A5-5FCD26E091D2}"/>
    <cellStyle name="Обычный 3 5" xfId="47" xr:uid="{4B0EC451-E89A-442E-BC16-3F204C1F70F8}"/>
    <cellStyle name="Обычный 3 5 2" xfId="108" xr:uid="{A034E631-2289-441A-8E10-48DA5654756A}"/>
    <cellStyle name="Обычный 3 5 2 2" xfId="135" xr:uid="{617F82FB-3CAB-4397-9737-B9CCF673AE51}"/>
    <cellStyle name="Обычный 3 6" xfId="94" xr:uid="{839F95BC-5B79-4380-B45E-B5335911CF3B}"/>
    <cellStyle name="Обычный 3 6 2" xfId="123" xr:uid="{20682024-76FE-41D8-8ACD-3AC1CBD1EDB2}"/>
    <cellStyle name="Обычный 3 7" xfId="96" xr:uid="{87B8F10F-658B-4F10-85F1-B3391DA45CC0}"/>
    <cellStyle name="Обычный 3 7 2" xfId="125" xr:uid="{1E26B288-A23D-4CA4-BC6D-B038CB0A1166}"/>
    <cellStyle name="Обычный 3 8" xfId="100" xr:uid="{2841E1B5-8CE3-4A78-A479-B357BEF31B9D}"/>
    <cellStyle name="Обычный 3 8 2" xfId="129" xr:uid="{47073701-FF4F-48F6-808B-80BDF45C2514}"/>
    <cellStyle name="Обычный 3 9" xfId="12" xr:uid="{8D05FF9B-301B-435F-B5DB-1E9493D221EF}"/>
    <cellStyle name="Обычный 3 9 2" xfId="119" xr:uid="{12243994-15EA-4323-A096-B7862EBF0D4A}"/>
    <cellStyle name="Обычный 4" xfId="10" xr:uid="{818FE503-9B08-4DC9-B1BF-79788686CA0B}"/>
    <cellStyle name="Обычный 4 2" xfId="53" xr:uid="{DA630A05-0AFC-4483-A4E3-A53B0B0E0BF1}"/>
    <cellStyle name="Обычный 4 2 2" xfId="54" xr:uid="{B0E49553-8ED5-4F95-9227-6A8BA722C5A2}"/>
    <cellStyle name="Обычный 4 3" xfId="52" xr:uid="{D8743B8C-3C5B-4383-AF57-5E5B48FEF6B8}"/>
    <cellStyle name="Обычный 5" xfId="55" xr:uid="{78FAC471-CA64-4ADF-9BFF-53332E2EC057}"/>
    <cellStyle name="Обычный 5 2" xfId="56" xr:uid="{487D6C36-4F71-47AC-BE4A-CE68B6AD2578}"/>
    <cellStyle name="Обычный 6" xfId="57" xr:uid="{4B19215E-4DD0-4A94-802A-A34BA0204C1A}"/>
    <cellStyle name="Обычный 6 2" xfId="58" xr:uid="{7129534D-2AF3-420C-985E-4B7AE3D839EE}"/>
    <cellStyle name="Обычный 6 3" xfId="92" xr:uid="{62AFAF82-74D5-4853-B36D-A67CA609F52E}"/>
    <cellStyle name="Обычный 7" xfId="59" xr:uid="{A1EBA2D9-1FCA-4381-A497-DA1E4B200603}"/>
    <cellStyle name="Обычный 8" xfId="60" xr:uid="{14C5A6EC-13B4-46C6-8E8F-476A1335C600}"/>
    <cellStyle name="Обычный 9" xfId="61" xr:uid="{66B21268-FE7E-4788-A1D2-D0CF12091932}"/>
    <cellStyle name="Плохой" xfId="7" builtinId="27"/>
    <cellStyle name="Процентный 2" xfId="62" xr:uid="{2BD77369-3F55-4738-8646-B9F268EB6EF9}"/>
    <cellStyle name="Процентный 2 2" xfId="63" xr:uid="{CCAABB24-3A51-4EB8-AF8C-6D39694AF3B3}"/>
    <cellStyle name="Процентный 3" xfId="64" xr:uid="{BFE98ECA-9E55-47C6-9623-48195A3049AF}"/>
    <cellStyle name="Процентный 4" xfId="18" xr:uid="{B4D409BF-C908-44EA-956A-AC16E3CF6519}"/>
    <cellStyle name="Процентный 4 3 3" xfId="65" xr:uid="{32D206E1-448E-4D82-BA6E-558B840E37FB}"/>
    <cellStyle name="Стиль 1" xfId="66" xr:uid="{0B609A08-05E2-4EDA-A3C1-E9D42D1054E8}"/>
    <cellStyle name="Финансовый 2" xfId="67" xr:uid="{9264C5A7-7BDD-4E2D-AB71-116E6E7BADA0}"/>
    <cellStyle name="Финансовый 2 10" xfId="68" xr:uid="{7E259DE7-190D-4101-A5A6-8F7F19B7D68F}"/>
    <cellStyle name="Финансовый 2 10 2" xfId="69" xr:uid="{1C285869-3323-43E8-9565-F4213341AC6C}"/>
    <cellStyle name="Финансовый 2 10 2 2" xfId="70" xr:uid="{0E5D119C-20D9-420B-B01C-D93EEBCCF8D5}"/>
    <cellStyle name="Финансовый 2 10 2 2 2" xfId="71" xr:uid="{9B0F8DBE-B97F-44DB-AC85-CD3BE0371731}"/>
    <cellStyle name="Финансовый 2 2" xfId="72" xr:uid="{073BB124-4F24-49B9-8CDC-50A668C348C9}"/>
    <cellStyle name="Финансовый 2 2 2" xfId="73" xr:uid="{2DECF483-9498-451A-8900-E71D964DF711}"/>
    <cellStyle name="Финансовый 2 3" xfId="74" xr:uid="{33532230-38DF-414E-8123-2B2909F65774}"/>
    <cellStyle name="Финансовый 2 3 2" xfId="75" xr:uid="{3025E656-71F9-4142-A56A-5EB26B163B63}"/>
    <cellStyle name="Финансовый 2 4" xfId="76" xr:uid="{4B3C2EAE-07DA-4091-9D32-2DAA6507F25C}"/>
    <cellStyle name="Финансовый 2 5" xfId="77" xr:uid="{83E7BB8F-D758-4DF9-9041-812F9B06E9B0}"/>
    <cellStyle name="Финансовый 2 6" xfId="78" xr:uid="{1166EB31-F946-4CDC-A2C7-CDF0796AF750}"/>
    <cellStyle name="Финансовый 2 7" xfId="79" xr:uid="{60FEB664-8D92-48C5-974D-49A5A836AF62}"/>
    <cellStyle name="Финансовый 2 8" xfId="107" xr:uid="{7E9E9055-3876-4D05-83E6-91E9CEE9DB0D}"/>
    <cellStyle name="Финансовый 3" xfId="80" xr:uid="{E9A334A9-1525-4E6E-AF0C-A895D2C7EE55}"/>
    <cellStyle name="Финансовый 3 2" xfId="81" xr:uid="{D490E174-5DF8-4819-9793-A4DAD38D8309}"/>
    <cellStyle name="Финансовый 3 3" xfId="93" xr:uid="{C0442712-D0D9-491E-BEE8-29668A299600}"/>
    <cellStyle name="Финансовый 4" xfId="82" xr:uid="{0C331860-0D45-4147-A551-961908D0CBF6}"/>
    <cellStyle name="Финансовый 4 2" xfId="83" xr:uid="{A49B08AA-C06E-40C1-B055-C6A4A70FAE74}"/>
    <cellStyle name="Финансовый 5" xfId="84" xr:uid="{43BAC65F-78E3-4702-A974-8D64BEBD98BB}"/>
    <cellStyle name="Финансовый 5 2" xfId="85" xr:uid="{6DABB8F3-D654-4D80-88D2-644D1DBE7364}"/>
    <cellStyle name="Финансовый 5 2 2" xfId="86" xr:uid="{7F81225E-440A-47BE-B249-D4969990F3FA}"/>
    <cellStyle name="Финансовый 5 3" xfId="87" xr:uid="{A2C32D72-41E2-4A5C-8501-7162D4969D46}"/>
    <cellStyle name="Финансовый 6" xfId="88" xr:uid="{346D4D40-DB23-4A90-A402-148CFA6895F8}"/>
    <cellStyle name="Финансовый 7" xfId="17" xr:uid="{55A6D865-0CFE-4183-A486-D4C99259B683}"/>
    <cellStyle name="Финансовый 8" xfId="102" xr:uid="{EC75E096-CDD7-4D45-B95A-812958B9E4CC}"/>
    <cellStyle name="Хороший" xfId="6" builtinId="26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R71"/>
  <sheetViews>
    <sheetView showGridLines="0" tabSelected="1" view="pageBreakPreview" topLeftCell="B5" zoomScale="80" zoomScaleNormal="130" zoomScaleSheetLayoutView="80" workbookViewId="0">
      <selection activeCell="B19" sqref="B19:H19"/>
    </sheetView>
  </sheetViews>
  <sheetFormatPr defaultColWidth="9.109375" defaultRowHeight="15.6" outlineLevelRow="1" outlineLevelCol="1" x14ac:dyDescent="0.25"/>
  <cols>
    <col min="1" max="1" width="7.44140625" style="137" bestFit="1" customWidth="1"/>
    <col min="2" max="2" width="65.5546875" style="98" customWidth="1"/>
    <col min="3" max="3" width="1.6640625" style="98" customWidth="1"/>
    <col min="4" max="4" width="10.109375" style="98" bestFit="1" customWidth="1"/>
    <col min="5" max="5" width="5.5546875" style="116" customWidth="1"/>
    <col min="6" max="7" width="6.109375" style="98" customWidth="1"/>
    <col min="8" max="8" width="1.5546875" style="98" customWidth="1"/>
    <col min="9" max="9" width="9.44140625" style="52" bestFit="1" customWidth="1"/>
    <col min="10" max="10" width="9.88671875" style="52" customWidth="1"/>
    <col min="11" max="11" width="11.88671875" style="52" customWidth="1"/>
    <col min="12" max="13" width="9.88671875" style="52" customWidth="1" outlineLevel="1"/>
    <col min="14" max="14" width="13.33203125" style="52" customWidth="1" outlineLevel="1"/>
    <col min="15" max="15" width="14.5546875" style="95" customWidth="1" outlineLevel="1"/>
    <col min="16" max="16" width="14.6640625" style="94" customWidth="1" outlineLevel="1"/>
    <col min="17" max="17" width="13.33203125" style="94" customWidth="1" outlineLevel="1"/>
    <col min="18" max="18" width="16.33203125" style="1" customWidth="1"/>
    <col min="19" max="21" width="9.109375" style="1" customWidth="1"/>
    <col min="22" max="22" width="9" style="1" customWidth="1"/>
    <col min="23" max="16384" width="9.109375" style="1"/>
  </cols>
  <sheetData>
    <row r="1" spans="1:18" ht="13.2" x14ac:dyDescent="0.2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</row>
    <row r="2" spans="1:18" ht="20.25" customHeight="1" x14ac:dyDescent="0.25">
      <c r="O2" s="211"/>
      <c r="P2" s="211"/>
      <c r="Q2" s="211"/>
      <c r="R2" s="211"/>
    </row>
    <row r="3" spans="1:18" ht="17.399999999999999" x14ac:dyDescent="0.25">
      <c r="B3" s="213" t="s">
        <v>138</v>
      </c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1"/>
    </row>
    <row r="4" spans="1:18" ht="17.399999999999999" x14ac:dyDescent="0.25"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1"/>
    </row>
    <row r="5" spans="1:18" x14ac:dyDescent="0.25">
      <c r="B5" s="214" t="s">
        <v>137</v>
      </c>
      <c r="C5" s="214"/>
      <c r="D5" s="214"/>
      <c r="E5" s="214"/>
      <c r="F5" s="214"/>
      <c r="G5" s="214"/>
      <c r="H5" s="214"/>
      <c r="I5" s="216" t="s">
        <v>171</v>
      </c>
      <c r="J5" s="216"/>
      <c r="K5" s="216"/>
      <c r="L5" s="216"/>
      <c r="M5" s="216"/>
      <c r="N5" s="216"/>
      <c r="O5" s="216"/>
      <c r="P5" s="216"/>
      <c r="Q5" s="216"/>
      <c r="R5" s="216"/>
    </row>
    <row r="7" spans="1:18" s="96" customFormat="1" ht="27" customHeight="1" x14ac:dyDescent="0.25">
      <c r="A7" s="215" t="s">
        <v>136</v>
      </c>
      <c r="B7" s="215"/>
      <c r="C7" s="215"/>
      <c r="D7" s="215"/>
      <c r="E7" s="215"/>
      <c r="F7" s="215"/>
      <c r="G7" s="215"/>
      <c r="H7" s="215"/>
      <c r="I7" s="217" t="s">
        <v>156</v>
      </c>
      <c r="J7" s="217"/>
      <c r="K7" s="217"/>
      <c r="L7" s="217"/>
      <c r="M7" s="217"/>
      <c r="N7" s="217"/>
      <c r="O7" s="217"/>
      <c r="P7" s="217"/>
      <c r="Q7" s="217"/>
      <c r="R7" s="217"/>
    </row>
    <row r="8" spans="1:18" ht="13.8" x14ac:dyDescent="0.25">
      <c r="A8" s="199" t="s">
        <v>113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 t="s">
        <v>114</v>
      </c>
      <c r="M8" s="199"/>
      <c r="N8" s="199"/>
      <c r="O8" s="199"/>
      <c r="P8" s="199"/>
      <c r="Q8" s="199"/>
      <c r="R8" s="199"/>
    </row>
    <row r="9" spans="1:18" ht="13.8" x14ac:dyDescent="0.25">
      <c r="A9" s="199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 t="s">
        <v>115</v>
      </c>
      <c r="M9" s="199"/>
      <c r="N9" s="199"/>
      <c r="O9" s="199"/>
      <c r="P9" s="199"/>
      <c r="Q9" s="199"/>
      <c r="R9" s="199"/>
    </row>
    <row r="10" spans="1:18" ht="13.8" x14ac:dyDescent="0.25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 t="s">
        <v>116</v>
      </c>
      <c r="M10" s="199"/>
      <c r="N10" s="199"/>
      <c r="O10" s="199"/>
      <c r="P10" s="199"/>
      <c r="Q10" s="199"/>
      <c r="R10" s="199"/>
    </row>
    <row r="11" spans="1:18" ht="12.75" customHeight="1" x14ac:dyDescent="0.25">
      <c r="A11" s="199"/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 t="s">
        <v>117</v>
      </c>
      <c r="M11" s="199"/>
      <c r="N11" s="199"/>
      <c r="O11" s="199"/>
      <c r="P11" s="199"/>
      <c r="Q11" s="199"/>
      <c r="R11" s="199"/>
    </row>
    <row r="12" spans="1:18" ht="12.75" customHeight="1" x14ac:dyDescent="0.25">
      <c r="A12" s="199"/>
      <c r="B12" s="212"/>
      <c r="C12" s="212"/>
      <c r="D12" s="212"/>
      <c r="E12" s="212"/>
      <c r="F12" s="212"/>
      <c r="G12" s="212"/>
      <c r="H12" s="212"/>
      <c r="I12" s="212"/>
      <c r="J12" s="199"/>
      <c r="K12" s="199"/>
      <c r="L12" s="199" t="s">
        <v>118</v>
      </c>
      <c r="M12" s="199"/>
      <c r="N12" s="199"/>
      <c r="O12" s="199"/>
      <c r="P12" s="199"/>
      <c r="Q12" s="199"/>
      <c r="R12" s="199"/>
    </row>
    <row r="13" spans="1:18" ht="13.8" x14ac:dyDescent="0.25">
      <c r="A13" s="196" t="s">
        <v>0</v>
      </c>
      <c r="B13" s="200" t="s">
        <v>123</v>
      </c>
      <c r="C13" s="104"/>
      <c r="D13" s="104"/>
      <c r="E13" s="104"/>
      <c r="F13" s="104"/>
      <c r="G13" s="104"/>
      <c r="H13" s="105"/>
      <c r="I13" s="202" t="s">
        <v>139</v>
      </c>
      <c r="J13" s="205" t="s">
        <v>140</v>
      </c>
      <c r="K13" s="199" t="s">
        <v>132</v>
      </c>
      <c r="L13" s="199" t="s">
        <v>131</v>
      </c>
      <c r="M13" s="199"/>
      <c r="N13" s="199"/>
      <c r="O13" s="199" t="s">
        <v>121</v>
      </c>
      <c r="P13" s="199"/>
      <c r="Q13" s="199"/>
      <c r="R13" s="185" t="s">
        <v>119</v>
      </c>
    </row>
    <row r="14" spans="1:18" ht="13.8" x14ac:dyDescent="0.25">
      <c r="A14" s="196"/>
      <c r="B14" s="201"/>
      <c r="C14" s="103"/>
      <c r="D14" s="103"/>
      <c r="E14" s="103"/>
      <c r="F14" s="103"/>
      <c r="G14" s="103"/>
      <c r="H14" s="106"/>
      <c r="I14" s="203"/>
      <c r="J14" s="206"/>
      <c r="K14" s="199"/>
      <c r="L14" s="197" t="s">
        <v>122</v>
      </c>
      <c r="M14" s="198" t="s">
        <v>120</v>
      </c>
      <c r="N14" s="198"/>
      <c r="O14" s="197" t="s">
        <v>122</v>
      </c>
      <c r="P14" s="198" t="s">
        <v>120</v>
      </c>
      <c r="Q14" s="198"/>
      <c r="R14" s="185"/>
    </row>
    <row r="15" spans="1:18" ht="13.8" x14ac:dyDescent="0.25">
      <c r="A15" s="196"/>
      <c r="B15" s="201"/>
      <c r="C15" s="103"/>
      <c r="D15" s="103"/>
      <c r="E15" s="103"/>
      <c r="F15" s="103"/>
      <c r="G15" s="103"/>
      <c r="H15" s="106"/>
      <c r="I15" s="204"/>
      <c r="J15" s="207"/>
      <c r="K15" s="199"/>
      <c r="L15" s="197"/>
      <c r="M15" s="99" t="s">
        <v>134</v>
      </c>
      <c r="N15" s="99" t="s">
        <v>133</v>
      </c>
      <c r="O15" s="197"/>
      <c r="P15" s="99" t="s">
        <v>134</v>
      </c>
      <c r="Q15" s="99" t="s">
        <v>133</v>
      </c>
      <c r="R15" s="185"/>
    </row>
    <row r="16" spans="1:18" x14ac:dyDescent="0.25">
      <c r="A16" s="150">
        <v>1</v>
      </c>
      <c r="B16" s="112">
        <v>2</v>
      </c>
      <c r="C16" s="110"/>
      <c r="D16" s="110"/>
      <c r="E16" s="110"/>
      <c r="F16" s="110"/>
      <c r="G16" s="110"/>
      <c r="H16" s="111"/>
      <c r="I16" s="109">
        <v>3</v>
      </c>
      <c r="J16" s="100">
        <v>4</v>
      </c>
      <c r="K16" s="100">
        <v>5</v>
      </c>
      <c r="L16" s="100">
        <v>6</v>
      </c>
      <c r="M16" s="100">
        <v>7</v>
      </c>
      <c r="N16" s="100">
        <v>8</v>
      </c>
      <c r="O16" s="100">
        <v>9</v>
      </c>
      <c r="P16" s="100">
        <v>10</v>
      </c>
      <c r="Q16" s="100">
        <v>11</v>
      </c>
      <c r="R16" s="100">
        <v>12</v>
      </c>
    </row>
    <row r="17" spans="1:18" x14ac:dyDescent="0.25">
      <c r="A17" s="151" t="s">
        <v>7</v>
      </c>
      <c r="B17" s="154" t="s">
        <v>173</v>
      </c>
      <c r="C17" s="107"/>
      <c r="D17" s="107"/>
      <c r="E17" s="118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8"/>
    </row>
    <row r="18" spans="1:18" s="160" customFormat="1" ht="21.75" customHeight="1" outlineLevel="1" x14ac:dyDescent="0.25">
      <c r="A18" s="174" t="s">
        <v>183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6"/>
    </row>
    <row r="19" spans="1:18" s="159" customFormat="1" ht="78.75" customHeight="1" outlineLevel="1" x14ac:dyDescent="0.25">
      <c r="A19" s="155" t="s">
        <v>157</v>
      </c>
      <c r="B19" s="177" t="s">
        <v>185</v>
      </c>
      <c r="C19" s="178"/>
      <c r="D19" s="178"/>
      <c r="E19" s="178"/>
      <c r="F19" s="178"/>
      <c r="G19" s="178"/>
      <c r="H19" s="179"/>
      <c r="I19" s="170" t="s">
        <v>13</v>
      </c>
      <c r="J19" s="171"/>
      <c r="K19" s="172">
        <v>9.65</v>
      </c>
      <c r="L19" s="156"/>
      <c r="M19" s="156"/>
      <c r="N19" s="156"/>
      <c r="O19" s="157"/>
      <c r="P19" s="158"/>
      <c r="Q19" s="158"/>
      <c r="R19" s="173" t="s">
        <v>151</v>
      </c>
    </row>
    <row r="20" spans="1:18" s="160" customFormat="1" ht="21.75" customHeight="1" outlineLevel="1" x14ac:dyDescent="0.25">
      <c r="A20" s="174" t="s">
        <v>184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6"/>
    </row>
    <row r="21" spans="1:18" s="159" customFormat="1" ht="78.75" customHeight="1" outlineLevel="1" x14ac:dyDescent="0.25">
      <c r="A21" s="155" t="s">
        <v>158</v>
      </c>
      <c r="B21" s="177" t="s">
        <v>186</v>
      </c>
      <c r="C21" s="178"/>
      <c r="D21" s="178"/>
      <c r="E21" s="178"/>
      <c r="F21" s="178"/>
      <c r="G21" s="178"/>
      <c r="H21" s="179"/>
      <c r="I21" s="170" t="s">
        <v>13</v>
      </c>
      <c r="J21" s="171"/>
      <c r="K21" s="172">
        <v>4.41</v>
      </c>
      <c r="L21" s="156"/>
      <c r="M21" s="156"/>
      <c r="N21" s="156"/>
      <c r="O21" s="157"/>
      <c r="P21" s="158"/>
      <c r="Q21" s="158"/>
      <c r="R21" s="173" t="s">
        <v>151</v>
      </c>
    </row>
    <row r="22" spans="1:18" s="160" customFormat="1" ht="21.75" customHeight="1" outlineLevel="1" x14ac:dyDescent="0.25">
      <c r="A22" s="174" t="s">
        <v>187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  <c r="R22" s="176"/>
    </row>
    <row r="23" spans="1:18" s="159" customFormat="1" ht="78.75" customHeight="1" outlineLevel="1" x14ac:dyDescent="0.25">
      <c r="A23" s="155" t="s">
        <v>159</v>
      </c>
      <c r="B23" s="177" t="s">
        <v>188</v>
      </c>
      <c r="C23" s="178"/>
      <c r="D23" s="178"/>
      <c r="E23" s="178"/>
      <c r="F23" s="178"/>
      <c r="G23" s="178"/>
      <c r="H23" s="179"/>
      <c r="I23" s="170" t="s">
        <v>13</v>
      </c>
      <c r="J23" s="171"/>
      <c r="K23" s="172">
        <v>1.73</v>
      </c>
      <c r="L23" s="156"/>
      <c r="M23" s="156"/>
      <c r="N23" s="156"/>
      <c r="O23" s="157"/>
      <c r="P23" s="158"/>
      <c r="Q23" s="158"/>
      <c r="R23" s="173" t="s">
        <v>151</v>
      </c>
    </row>
    <row r="24" spans="1:18" s="160" customFormat="1" ht="21.75" customHeight="1" outlineLevel="1" x14ac:dyDescent="0.25">
      <c r="A24" s="174" t="s">
        <v>189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6"/>
    </row>
    <row r="25" spans="1:18" s="159" customFormat="1" ht="78.75" customHeight="1" outlineLevel="1" x14ac:dyDescent="0.25">
      <c r="A25" s="155" t="s">
        <v>160</v>
      </c>
      <c r="B25" s="177" t="s">
        <v>190</v>
      </c>
      <c r="C25" s="178"/>
      <c r="D25" s="178"/>
      <c r="E25" s="178"/>
      <c r="F25" s="178"/>
      <c r="G25" s="178"/>
      <c r="H25" s="179"/>
      <c r="I25" s="170" t="s">
        <v>13</v>
      </c>
      <c r="J25" s="171"/>
      <c r="K25" s="172">
        <v>3</v>
      </c>
      <c r="L25" s="156"/>
      <c r="M25" s="156"/>
      <c r="N25" s="156"/>
      <c r="O25" s="157"/>
      <c r="P25" s="158"/>
      <c r="Q25" s="158"/>
      <c r="R25" s="173" t="s">
        <v>151</v>
      </c>
    </row>
    <row r="26" spans="1:18" s="160" customFormat="1" ht="21.75" customHeight="1" outlineLevel="1" x14ac:dyDescent="0.25">
      <c r="A26" s="174" t="s">
        <v>191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6"/>
    </row>
    <row r="27" spans="1:18" s="159" customFormat="1" ht="78.75" customHeight="1" outlineLevel="1" x14ac:dyDescent="0.25">
      <c r="A27" s="155" t="s">
        <v>161</v>
      </c>
      <c r="B27" s="177" t="s">
        <v>192</v>
      </c>
      <c r="C27" s="178"/>
      <c r="D27" s="178"/>
      <c r="E27" s="178"/>
      <c r="F27" s="178"/>
      <c r="G27" s="178"/>
      <c r="H27" s="179"/>
      <c r="I27" s="170" t="s">
        <v>13</v>
      </c>
      <c r="J27" s="171"/>
      <c r="K27" s="172">
        <v>2.84</v>
      </c>
      <c r="L27" s="156"/>
      <c r="M27" s="156"/>
      <c r="N27" s="156"/>
      <c r="O27" s="157"/>
      <c r="P27" s="158"/>
      <c r="Q27" s="158"/>
      <c r="R27" s="173" t="s">
        <v>151</v>
      </c>
    </row>
    <row r="28" spans="1:18" s="160" customFormat="1" ht="21.75" customHeight="1" outlineLevel="1" x14ac:dyDescent="0.25">
      <c r="A28" s="174" t="s">
        <v>193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6"/>
    </row>
    <row r="29" spans="1:18" s="159" customFormat="1" ht="78.75" customHeight="1" outlineLevel="1" x14ac:dyDescent="0.25">
      <c r="A29" s="155" t="s">
        <v>162</v>
      </c>
      <c r="B29" s="177" t="s">
        <v>194</v>
      </c>
      <c r="C29" s="178"/>
      <c r="D29" s="178"/>
      <c r="E29" s="178"/>
      <c r="F29" s="178"/>
      <c r="G29" s="178"/>
      <c r="H29" s="179"/>
      <c r="I29" s="170" t="s">
        <v>13</v>
      </c>
      <c r="J29" s="171"/>
      <c r="K29" s="172">
        <v>12.78</v>
      </c>
      <c r="L29" s="156"/>
      <c r="M29" s="156"/>
      <c r="N29" s="156"/>
      <c r="O29" s="157"/>
      <c r="P29" s="158"/>
      <c r="Q29" s="158"/>
      <c r="R29" s="173" t="s">
        <v>151</v>
      </c>
    </row>
    <row r="30" spans="1:18" s="160" customFormat="1" ht="21.75" customHeight="1" outlineLevel="1" x14ac:dyDescent="0.25">
      <c r="A30" s="174" t="s">
        <v>195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6"/>
    </row>
    <row r="31" spans="1:18" s="159" customFormat="1" ht="78.75" customHeight="1" outlineLevel="1" x14ac:dyDescent="0.25">
      <c r="A31" s="155" t="s">
        <v>163</v>
      </c>
      <c r="B31" s="177" t="s">
        <v>196</v>
      </c>
      <c r="C31" s="178"/>
      <c r="D31" s="178"/>
      <c r="E31" s="178"/>
      <c r="F31" s="178"/>
      <c r="G31" s="178"/>
      <c r="H31" s="179"/>
      <c r="I31" s="170" t="s">
        <v>13</v>
      </c>
      <c r="J31" s="171"/>
      <c r="K31" s="172">
        <v>3.76</v>
      </c>
      <c r="L31" s="156"/>
      <c r="M31" s="156"/>
      <c r="N31" s="156"/>
      <c r="O31" s="157"/>
      <c r="P31" s="158"/>
      <c r="Q31" s="158"/>
      <c r="R31" s="173" t="s">
        <v>151</v>
      </c>
    </row>
    <row r="32" spans="1:18" s="160" customFormat="1" ht="21.75" customHeight="1" outlineLevel="1" x14ac:dyDescent="0.25">
      <c r="A32" s="174" t="s">
        <v>197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  <c r="R32" s="176"/>
    </row>
    <row r="33" spans="1:18" s="159" customFormat="1" ht="78.75" customHeight="1" outlineLevel="1" x14ac:dyDescent="0.25">
      <c r="A33" s="155" t="s">
        <v>164</v>
      </c>
      <c r="B33" s="177" t="s">
        <v>198</v>
      </c>
      <c r="C33" s="178"/>
      <c r="D33" s="178"/>
      <c r="E33" s="178"/>
      <c r="F33" s="178"/>
      <c r="G33" s="178"/>
      <c r="H33" s="179"/>
      <c r="I33" s="170" t="s">
        <v>13</v>
      </c>
      <c r="J33" s="171"/>
      <c r="K33" s="172">
        <v>2.04</v>
      </c>
      <c r="L33" s="156"/>
      <c r="M33" s="156"/>
      <c r="N33" s="156"/>
      <c r="O33" s="157"/>
      <c r="P33" s="158"/>
      <c r="Q33" s="158"/>
      <c r="R33" s="173" t="s">
        <v>151</v>
      </c>
    </row>
    <row r="34" spans="1:18" s="160" customFormat="1" ht="21.75" customHeight="1" outlineLevel="1" x14ac:dyDescent="0.25">
      <c r="A34" s="174" t="s">
        <v>199</v>
      </c>
      <c r="B34" s="175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6"/>
    </row>
    <row r="35" spans="1:18" s="159" customFormat="1" ht="78.75" customHeight="1" outlineLevel="1" x14ac:dyDescent="0.25">
      <c r="A35" s="155" t="s">
        <v>165</v>
      </c>
      <c r="B35" s="177" t="s">
        <v>200</v>
      </c>
      <c r="C35" s="178"/>
      <c r="D35" s="178"/>
      <c r="E35" s="178"/>
      <c r="F35" s="178"/>
      <c r="G35" s="178"/>
      <c r="H35" s="179"/>
      <c r="I35" s="170" t="s">
        <v>13</v>
      </c>
      <c r="J35" s="171"/>
      <c r="K35" s="172">
        <v>24.22</v>
      </c>
      <c r="L35" s="156"/>
      <c r="M35" s="156"/>
      <c r="N35" s="156"/>
      <c r="O35" s="157"/>
      <c r="P35" s="158"/>
      <c r="Q35" s="158"/>
      <c r="R35" s="173" t="s">
        <v>151</v>
      </c>
    </row>
    <row r="36" spans="1:18" s="160" customFormat="1" ht="21.75" customHeight="1" outlineLevel="1" x14ac:dyDescent="0.25">
      <c r="A36" s="174" t="s">
        <v>201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6"/>
    </row>
    <row r="37" spans="1:18" s="159" customFormat="1" ht="78.75" customHeight="1" outlineLevel="1" x14ac:dyDescent="0.25">
      <c r="A37" s="155" t="s">
        <v>174</v>
      </c>
      <c r="B37" s="177" t="s">
        <v>202</v>
      </c>
      <c r="C37" s="178"/>
      <c r="D37" s="178"/>
      <c r="E37" s="178"/>
      <c r="F37" s="178"/>
      <c r="G37" s="178"/>
      <c r="H37" s="179"/>
      <c r="I37" s="170" t="s">
        <v>13</v>
      </c>
      <c r="J37" s="171"/>
      <c r="K37" s="172">
        <v>3.14</v>
      </c>
      <c r="L37" s="156"/>
      <c r="M37" s="156"/>
      <c r="N37" s="156"/>
      <c r="O37" s="157"/>
      <c r="P37" s="158"/>
      <c r="Q37" s="158"/>
      <c r="R37" s="173" t="s">
        <v>151</v>
      </c>
    </row>
    <row r="38" spans="1:18" s="160" customFormat="1" ht="21.75" customHeight="1" outlineLevel="1" x14ac:dyDescent="0.25">
      <c r="A38" s="174" t="s">
        <v>203</v>
      </c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6"/>
    </row>
    <row r="39" spans="1:18" s="159" customFormat="1" ht="78.75" customHeight="1" outlineLevel="1" x14ac:dyDescent="0.25">
      <c r="A39" s="155" t="s">
        <v>175</v>
      </c>
      <c r="B39" s="177" t="s">
        <v>204</v>
      </c>
      <c r="C39" s="178"/>
      <c r="D39" s="178"/>
      <c r="E39" s="178"/>
      <c r="F39" s="178"/>
      <c r="G39" s="178"/>
      <c r="H39" s="179"/>
      <c r="I39" s="170" t="s">
        <v>13</v>
      </c>
      <c r="J39" s="171"/>
      <c r="K39" s="172">
        <v>1.89</v>
      </c>
      <c r="L39" s="156"/>
      <c r="M39" s="156"/>
      <c r="N39" s="156"/>
      <c r="O39" s="157"/>
      <c r="P39" s="158"/>
      <c r="Q39" s="158"/>
      <c r="R39" s="173" t="s">
        <v>151</v>
      </c>
    </row>
    <row r="40" spans="1:18" s="160" customFormat="1" ht="21.75" customHeight="1" outlineLevel="1" x14ac:dyDescent="0.25">
      <c r="A40" s="174" t="s">
        <v>205</v>
      </c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6"/>
    </row>
    <row r="41" spans="1:18" s="159" customFormat="1" ht="78.75" customHeight="1" outlineLevel="1" x14ac:dyDescent="0.25">
      <c r="A41" s="155" t="s">
        <v>176</v>
      </c>
      <c r="B41" s="177" t="s">
        <v>206</v>
      </c>
      <c r="C41" s="178"/>
      <c r="D41" s="178"/>
      <c r="E41" s="178"/>
      <c r="F41" s="178"/>
      <c r="G41" s="178"/>
      <c r="H41" s="179"/>
      <c r="I41" s="170" t="s">
        <v>13</v>
      </c>
      <c r="J41" s="171"/>
      <c r="K41" s="172">
        <v>0.98</v>
      </c>
      <c r="L41" s="156"/>
      <c r="M41" s="156"/>
      <c r="N41" s="156"/>
      <c r="O41" s="157"/>
      <c r="P41" s="158"/>
      <c r="Q41" s="158"/>
      <c r="R41" s="173" t="s">
        <v>151</v>
      </c>
    </row>
    <row r="42" spans="1:18" s="160" customFormat="1" ht="21.75" customHeight="1" outlineLevel="1" x14ac:dyDescent="0.25">
      <c r="A42" s="174" t="s">
        <v>207</v>
      </c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6"/>
    </row>
    <row r="43" spans="1:18" s="159" customFormat="1" ht="78.75" customHeight="1" outlineLevel="1" x14ac:dyDescent="0.25">
      <c r="A43" s="155" t="s">
        <v>177</v>
      </c>
      <c r="B43" s="177" t="s">
        <v>208</v>
      </c>
      <c r="C43" s="178"/>
      <c r="D43" s="178"/>
      <c r="E43" s="178"/>
      <c r="F43" s="178"/>
      <c r="G43" s="178"/>
      <c r="H43" s="179"/>
      <c r="I43" s="170" t="s">
        <v>13</v>
      </c>
      <c r="J43" s="171"/>
      <c r="K43" s="172">
        <v>4.88</v>
      </c>
      <c r="L43" s="156"/>
      <c r="M43" s="156"/>
      <c r="N43" s="156"/>
      <c r="O43" s="157"/>
      <c r="P43" s="158"/>
      <c r="Q43" s="158"/>
      <c r="R43" s="173" t="s">
        <v>151</v>
      </c>
    </row>
    <row r="44" spans="1:18" s="160" customFormat="1" ht="21.75" customHeight="1" outlineLevel="1" x14ac:dyDescent="0.25">
      <c r="A44" s="174" t="s">
        <v>209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6"/>
    </row>
    <row r="45" spans="1:18" s="159" customFormat="1" ht="78.75" customHeight="1" outlineLevel="1" x14ac:dyDescent="0.25">
      <c r="A45" s="155" t="s">
        <v>178</v>
      </c>
      <c r="B45" s="177" t="s">
        <v>210</v>
      </c>
      <c r="C45" s="178"/>
      <c r="D45" s="178"/>
      <c r="E45" s="178"/>
      <c r="F45" s="178"/>
      <c r="G45" s="178"/>
      <c r="H45" s="179"/>
      <c r="I45" s="170" t="s">
        <v>13</v>
      </c>
      <c r="J45" s="171"/>
      <c r="K45" s="172">
        <v>5.64</v>
      </c>
      <c r="L45" s="156"/>
      <c r="M45" s="156"/>
      <c r="N45" s="156"/>
      <c r="O45" s="157"/>
      <c r="P45" s="158"/>
      <c r="Q45" s="158"/>
      <c r="R45" s="173" t="s">
        <v>151</v>
      </c>
    </row>
    <row r="46" spans="1:18" s="160" customFormat="1" ht="21.75" customHeight="1" outlineLevel="1" x14ac:dyDescent="0.25">
      <c r="A46" s="174" t="s">
        <v>211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6"/>
    </row>
    <row r="47" spans="1:18" s="159" customFormat="1" ht="78.75" customHeight="1" outlineLevel="1" x14ac:dyDescent="0.25">
      <c r="A47" s="155" t="s">
        <v>179</v>
      </c>
      <c r="B47" s="177" t="s">
        <v>212</v>
      </c>
      <c r="C47" s="178"/>
      <c r="D47" s="178"/>
      <c r="E47" s="178"/>
      <c r="F47" s="178"/>
      <c r="G47" s="178"/>
      <c r="H47" s="179"/>
      <c r="I47" s="170" t="s">
        <v>13</v>
      </c>
      <c r="J47" s="171"/>
      <c r="K47" s="172">
        <v>2.08</v>
      </c>
      <c r="L47" s="156"/>
      <c r="M47" s="156"/>
      <c r="N47" s="156"/>
      <c r="O47" s="157"/>
      <c r="P47" s="158"/>
      <c r="Q47" s="158"/>
      <c r="R47" s="173" t="s">
        <v>151</v>
      </c>
    </row>
    <row r="48" spans="1:18" s="125" customFormat="1" outlineLevel="1" x14ac:dyDescent="0.25">
      <c r="A48" s="180" t="s">
        <v>152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26">
        <f>SUM(P48:Q48)</f>
        <v>0</v>
      </c>
      <c r="P48" s="127">
        <f>SUM(P18:P47)</f>
        <v>0</v>
      </c>
      <c r="Q48" s="127">
        <f>SUM(Q18:Q47)</f>
        <v>0</v>
      </c>
      <c r="R48" s="128"/>
    </row>
    <row r="49" spans="1:18" s="102" customFormat="1" outlineLevel="1" x14ac:dyDescent="0.25">
      <c r="A49" s="161">
        <v>2</v>
      </c>
      <c r="B49" s="162" t="s">
        <v>182</v>
      </c>
      <c r="C49" s="162"/>
      <c r="D49" s="162"/>
      <c r="E49" s="162"/>
      <c r="F49" s="162"/>
      <c r="G49" s="162"/>
      <c r="H49" s="162"/>
      <c r="I49" s="163"/>
      <c r="J49" s="163"/>
      <c r="K49" s="163"/>
      <c r="L49" s="163"/>
      <c r="M49" s="163"/>
      <c r="N49" s="163"/>
      <c r="O49" s="163"/>
      <c r="P49" s="163"/>
      <c r="Q49" s="163"/>
      <c r="R49" s="164"/>
    </row>
    <row r="50" spans="1:18" s="102" customFormat="1" ht="37.5" customHeight="1" outlineLevel="1" x14ac:dyDescent="0.25">
      <c r="A50" s="152" t="s">
        <v>167</v>
      </c>
      <c r="B50" s="177" t="s">
        <v>180</v>
      </c>
      <c r="C50" s="178"/>
      <c r="D50" s="178"/>
      <c r="E50" s="178"/>
      <c r="F50" s="178"/>
      <c r="G50" s="178"/>
      <c r="H50" s="179"/>
      <c r="I50" s="165"/>
      <c r="J50" s="165"/>
      <c r="K50" s="166"/>
      <c r="L50" s="167"/>
      <c r="M50" s="168"/>
      <c r="N50" s="168"/>
      <c r="O50" s="126"/>
      <c r="P50" s="127"/>
      <c r="Q50" s="127"/>
      <c r="R50" s="169"/>
    </row>
    <row r="51" spans="1:18" s="102" customFormat="1" ht="45.75" customHeight="1" outlineLevel="1" x14ac:dyDescent="0.25">
      <c r="A51" s="152" t="s">
        <v>168</v>
      </c>
      <c r="B51" s="177" t="s">
        <v>181</v>
      </c>
      <c r="C51" s="178"/>
      <c r="D51" s="178"/>
      <c r="E51" s="178"/>
      <c r="F51" s="178"/>
      <c r="G51" s="178"/>
      <c r="H51" s="179"/>
      <c r="I51" s="165"/>
      <c r="J51" s="165"/>
      <c r="K51" s="166"/>
      <c r="L51" s="167"/>
      <c r="M51" s="168"/>
      <c r="N51" s="168"/>
      <c r="O51" s="126"/>
      <c r="P51" s="127"/>
      <c r="Q51" s="127"/>
      <c r="R51" s="169"/>
    </row>
    <row r="52" spans="1:18" s="102" customFormat="1" ht="27.75" customHeight="1" outlineLevel="1" x14ac:dyDescent="0.25">
      <c r="A52" s="180" t="s">
        <v>166</v>
      </c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26">
        <f>SUM(P52:Q52)</f>
        <v>0</v>
      </c>
      <c r="P52" s="127">
        <f>SUM(P50:P51)</f>
        <v>0</v>
      </c>
      <c r="Q52" s="127">
        <f>SUM(Q50:Q51)</f>
        <v>0</v>
      </c>
      <c r="R52" s="128"/>
    </row>
    <row r="53" spans="1:18" s="102" customFormat="1" ht="27.75" customHeight="1" outlineLevel="1" x14ac:dyDescent="0.25">
      <c r="A53" s="218" t="s">
        <v>153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20"/>
      <c r="O53" s="126">
        <f>SUM(P53:Q53)</f>
        <v>0</v>
      </c>
      <c r="P53" s="127">
        <f>P52+P48</f>
        <v>0</v>
      </c>
      <c r="Q53" s="127">
        <f>Q52+Q48</f>
        <v>0</v>
      </c>
      <c r="R53" s="128"/>
    </row>
    <row r="54" spans="1:18" s="102" customFormat="1" ht="27.75" customHeight="1" outlineLevel="1" x14ac:dyDescent="0.25">
      <c r="A54" s="218" t="s">
        <v>154</v>
      </c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20"/>
      <c r="O54" s="126">
        <f>O52/6</f>
        <v>0</v>
      </c>
      <c r="P54" s="127"/>
      <c r="Q54" s="127"/>
      <c r="R54" s="128"/>
    </row>
    <row r="55" spans="1:18" s="102" customFormat="1" ht="27.75" customHeight="1" outlineLevel="1" x14ac:dyDescent="0.25">
      <c r="A55" s="129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1"/>
      <c r="P55" s="132"/>
      <c r="Q55" s="132"/>
      <c r="R55" s="133"/>
    </row>
    <row r="56" spans="1:18" s="102" customFormat="1" outlineLevel="1" x14ac:dyDescent="0.25">
      <c r="A56" s="134"/>
      <c r="B56" s="135"/>
      <c r="C56" s="135"/>
      <c r="D56" s="135"/>
      <c r="E56" s="136"/>
      <c r="F56" s="135"/>
      <c r="G56" s="135"/>
      <c r="H56" s="135"/>
      <c r="I56" s="135"/>
      <c r="J56" s="135"/>
      <c r="K56" s="135"/>
      <c r="L56" s="135"/>
      <c r="M56" s="135"/>
      <c r="N56" s="135"/>
      <c r="O56" s="131"/>
      <c r="P56" s="132"/>
      <c r="Q56" s="132"/>
      <c r="R56" s="133"/>
    </row>
    <row r="57" spans="1:18" x14ac:dyDescent="0.3">
      <c r="B57" s="138" t="s">
        <v>124</v>
      </c>
      <c r="C57" s="139"/>
      <c r="D57" s="139"/>
      <c r="E57" s="140"/>
      <c r="F57" s="139"/>
      <c r="G57" s="139"/>
      <c r="H57" s="141"/>
      <c r="I57" s="182" t="s">
        <v>129</v>
      </c>
      <c r="J57" s="183"/>
      <c r="K57" s="184"/>
      <c r="L57" s="187"/>
      <c r="M57" s="188"/>
      <c r="N57" s="188"/>
      <c r="O57" s="188"/>
      <c r="P57" s="188"/>
      <c r="Q57" s="188"/>
      <c r="R57" s="189"/>
    </row>
    <row r="58" spans="1:18" x14ac:dyDescent="0.3">
      <c r="B58" s="138" t="s">
        <v>125</v>
      </c>
      <c r="C58" s="139"/>
      <c r="D58" s="139"/>
      <c r="E58" s="140"/>
      <c r="F58" s="139"/>
      <c r="G58" s="139"/>
      <c r="H58" s="141"/>
      <c r="I58" s="182" t="s">
        <v>141</v>
      </c>
      <c r="J58" s="183"/>
      <c r="K58" s="184"/>
      <c r="L58" s="187"/>
      <c r="M58" s="188"/>
      <c r="N58" s="188"/>
      <c r="O58" s="188"/>
      <c r="P58" s="188"/>
      <c r="Q58" s="188"/>
      <c r="R58" s="189"/>
    </row>
    <row r="59" spans="1:18" ht="31.2" x14ac:dyDescent="0.3">
      <c r="B59" s="138" t="s">
        <v>135</v>
      </c>
      <c r="C59" s="139"/>
      <c r="D59" s="139"/>
      <c r="E59" s="140"/>
      <c r="F59" s="139"/>
      <c r="G59" s="139"/>
      <c r="H59" s="141"/>
      <c r="I59" s="182" t="s">
        <v>128</v>
      </c>
      <c r="J59" s="183"/>
      <c r="K59" s="184"/>
      <c r="L59" s="142"/>
      <c r="M59" s="142"/>
      <c r="N59" s="142"/>
      <c r="O59" s="142"/>
      <c r="P59" s="142"/>
      <c r="Q59" s="142"/>
      <c r="R59" s="143"/>
    </row>
    <row r="60" spans="1:18" x14ac:dyDescent="0.3">
      <c r="B60" s="138" t="s">
        <v>126</v>
      </c>
      <c r="C60" s="139"/>
      <c r="D60" s="139"/>
      <c r="E60" s="140"/>
      <c r="F60" s="139"/>
      <c r="G60" s="139"/>
      <c r="H60" s="141"/>
      <c r="I60" s="182" t="s">
        <v>130</v>
      </c>
      <c r="J60" s="183"/>
      <c r="K60" s="184"/>
      <c r="L60" s="187"/>
      <c r="M60" s="188"/>
      <c r="N60" s="188"/>
      <c r="O60" s="188"/>
      <c r="P60" s="188"/>
      <c r="Q60" s="188"/>
      <c r="R60" s="189"/>
    </row>
    <row r="61" spans="1:18" x14ac:dyDescent="0.3">
      <c r="B61" s="138" t="s">
        <v>142</v>
      </c>
      <c r="C61" s="139"/>
      <c r="D61" s="139"/>
      <c r="E61" s="140"/>
      <c r="F61" s="139"/>
      <c r="G61" s="139"/>
      <c r="H61" s="141"/>
      <c r="I61" s="182" t="s">
        <v>129</v>
      </c>
      <c r="J61" s="183"/>
      <c r="K61" s="184"/>
      <c r="L61" s="144"/>
      <c r="M61" s="144"/>
      <c r="N61" s="144"/>
      <c r="O61" s="144"/>
      <c r="P61" s="144"/>
      <c r="Q61" s="144"/>
      <c r="R61" s="145"/>
    </row>
    <row r="62" spans="1:18" x14ac:dyDescent="0.3">
      <c r="B62" s="138" t="s">
        <v>143</v>
      </c>
      <c r="C62" s="139"/>
      <c r="D62" s="139"/>
      <c r="E62" s="140"/>
      <c r="F62" s="139"/>
      <c r="G62" s="139"/>
      <c r="H62" s="141"/>
      <c r="I62" s="182" t="s">
        <v>130</v>
      </c>
      <c r="J62" s="183"/>
      <c r="K62" s="184"/>
      <c r="L62" s="144"/>
      <c r="M62" s="144"/>
      <c r="N62" s="144"/>
      <c r="O62" s="144"/>
      <c r="P62" s="144"/>
      <c r="Q62" s="144"/>
      <c r="R62" s="145"/>
    </row>
    <row r="63" spans="1:18" ht="32.25" customHeight="1" x14ac:dyDescent="0.3">
      <c r="B63" s="208" t="s">
        <v>144</v>
      </c>
      <c r="C63" s="209"/>
      <c r="D63" s="209"/>
      <c r="E63" s="209"/>
      <c r="F63" s="209"/>
      <c r="G63" s="209"/>
      <c r="H63" s="210"/>
      <c r="I63" s="182" t="s">
        <v>145</v>
      </c>
      <c r="J63" s="183"/>
      <c r="K63" s="184"/>
      <c r="L63" s="144"/>
      <c r="M63" s="144"/>
      <c r="N63" s="144"/>
      <c r="O63" s="144"/>
      <c r="P63" s="144"/>
      <c r="Q63" s="144"/>
      <c r="R63" s="145"/>
    </row>
    <row r="64" spans="1:18" x14ac:dyDescent="0.3">
      <c r="B64" s="138" t="s">
        <v>146</v>
      </c>
      <c r="C64" s="139"/>
      <c r="D64" s="139"/>
      <c r="E64" s="140"/>
      <c r="F64" s="139"/>
      <c r="G64" s="139"/>
      <c r="H64" s="141"/>
      <c r="I64" s="182" t="s">
        <v>147</v>
      </c>
      <c r="J64" s="183"/>
      <c r="K64" s="184"/>
      <c r="L64" s="144"/>
      <c r="M64" s="144"/>
      <c r="N64" s="144"/>
      <c r="O64" s="144"/>
      <c r="P64" s="144"/>
      <c r="Q64" s="144"/>
      <c r="R64" s="145"/>
    </row>
    <row r="65" spans="1:18" x14ac:dyDescent="0.3">
      <c r="B65" s="138" t="s">
        <v>148</v>
      </c>
      <c r="C65" s="139"/>
      <c r="D65" s="139"/>
      <c r="E65" s="140"/>
      <c r="F65" s="139"/>
      <c r="G65" s="139"/>
      <c r="H65" s="141"/>
      <c r="I65" s="182"/>
      <c r="J65" s="183"/>
      <c r="K65" s="184"/>
      <c r="L65" s="144"/>
      <c r="M65" s="144"/>
      <c r="N65" s="144"/>
      <c r="O65" s="144"/>
      <c r="P65" s="144"/>
      <c r="Q65" s="144"/>
      <c r="R65" s="145"/>
    </row>
    <row r="66" spans="1:18" ht="314.25" customHeight="1" thickBot="1" x14ac:dyDescent="0.35">
      <c r="B66" s="146" t="s">
        <v>127</v>
      </c>
      <c r="C66" s="147"/>
      <c r="D66" s="147"/>
      <c r="E66" s="148"/>
      <c r="F66" s="147"/>
      <c r="G66" s="147"/>
      <c r="H66" s="149"/>
      <c r="I66" s="190"/>
      <c r="J66" s="191"/>
      <c r="K66" s="192"/>
      <c r="L66" s="193" t="s">
        <v>213</v>
      </c>
      <c r="M66" s="194"/>
      <c r="N66" s="194"/>
      <c r="O66" s="194"/>
      <c r="P66" s="194"/>
      <c r="Q66" s="194"/>
      <c r="R66" s="195"/>
    </row>
    <row r="67" spans="1:18" x14ac:dyDescent="0.25">
      <c r="B67" s="113"/>
      <c r="C67" s="113"/>
      <c r="D67" s="113"/>
      <c r="E67" s="117"/>
      <c r="F67" s="113"/>
      <c r="G67" s="113"/>
      <c r="H67" s="113"/>
      <c r="I67" s="114"/>
      <c r="J67" s="114"/>
      <c r="K67" s="114"/>
      <c r="L67" s="115"/>
      <c r="M67" s="115"/>
      <c r="N67" s="115"/>
      <c r="O67" s="115"/>
      <c r="P67" s="115"/>
      <c r="Q67" s="115"/>
      <c r="R67" s="115"/>
    </row>
    <row r="68" spans="1:18" ht="15.75" customHeight="1" x14ac:dyDescent="0.3">
      <c r="A68" s="153"/>
      <c r="B68" s="119" t="s">
        <v>169</v>
      </c>
      <c r="C68" s="119"/>
      <c r="D68" s="119"/>
      <c r="E68" s="120"/>
      <c r="F68" s="119"/>
      <c r="G68" s="119"/>
      <c r="H68" s="119"/>
      <c r="I68" s="181" t="s">
        <v>155</v>
      </c>
      <c r="J68" s="181"/>
      <c r="K68" s="181"/>
      <c r="L68" s="181"/>
      <c r="M68" s="181"/>
      <c r="R68" s="68"/>
    </row>
    <row r="69" spans="1:18" ht="18" customHeight="1" x14ac:dyDescent="0.3">
      <c r="A69" s="153"/>
      <c r="B69" s="122" t="s">
        <v>149</v>
      </c>
      <c r="C69" s="122"/>
      <c r="D69" s="122"/>
      <c r="E69" s="123"/>
      <c r="F69" s="122"/>
      <c r="G69" s="122"/>
      <c r="H69" s="122"/>
      <c r="I69" s="186"/>
      <c r="J69" s="186"/>
      <c r="K69" s="186"/>
      <c r="L69" s="186"/>
      <c r="M69" s="124"/>
    </row>
    <row r="70" spans="1:18" x14ac:dyDescent="0.3">
      <c r="A70" s="153"/>
      <c r="B70" s="121" t="s">
        <v>170</v>
      </c>
      <c r="C70" s="121"/>
      <c r="D70" s="121"/>
      <c r="E70" s="124"/>
      <c r="F70" s="121"/>
      <c r="G70" s="121"/>
      <c r="H70" s="121"/>
      <c r="I70" s="181" t="s">
        <v>150</v>
      </c>
      <c r="J70" s="181"/>
      <c r="K70" s="181"/>
      <c r="L70" s="181"/>
      <c r="M70" s="124"/>
    </row>
    <row r="71" spans="1:18" x14ac:dyDescent="0.3">
      <c r="A71" s="153"/>
      <c r="B71" s="101"/>
      <c r="C71" s="101"/>
      <c r="D71" s="101"/>
      <c r="E71" s="52"/>
      <c r="F71" s="101"/>
      <c r="G71" s="101"/>
      <c r="H71" s="101"/>
      <c r="I71" s="101"/>
      <c r="J71" s="101"/>
      <c r="K71" s="101"/>
      <c r="L71" s="101"/>
    </row>
  </sheetData>
  <mergeCells count="79">
    <mergeCell ref="B50:H50"/>
    <mergeCell ref="B51:H51"/>
    <mergeCell ref="A53:N53"/>
    <mergeCell ref="A52:N52"/>
    <mergeCell ref="A54:N54"/>
    <mergeCell ref="A1:R1"/>
    <mergeCell ref="A8:K12"/>
    <mergeCell ref="L8:R8"/>
    <mergeCell ref="L9:R9"/>
    <mergeCell ref="L10:R10"/>
    <mergeCell ref="L11:R11"/>
    <mergeCell ref="L12:R12"/>
    <mergeCell ref="O2:R2"/>
    <mergeCell ref="B3:P3"/>
    <mergeCell ref="B5:H5"/>
    <mergeCell ref="A7:H7"/>
    <mergeCell ref="I5:R5"/>
    <mergeCell ref="I7:R7"/>
    <mergeCell ref="L58:R58"/>
    <mergeCell ref="I57:K57"/>
    <mergeCell ref="L57:R57"/>
    <mergeCell ref="L66:R66"/>
    <mergeCell ref="A13:A15"/>
    <mergeCell ref="O14:O15"/>
    <mergeCell ref="P14:Q14"/>
    <mergeCell ref="O13:Q13"/>
    <mergeCell ref="L14:L15"/>
    <mergeCell ref="M14:N14"/>
    <mergeCell ref="B13:B15"/>
    <mergeCell ref="I13:I15"/>
    <mergeCell ref="K13:K15"/>
    <mergeCell ref="L13:N13"/>
    <mergeCell ref="J13:J15"/>
    <mergeCell ref="B63:H63"/>
    <mergeCell ref="A48:N48"/>
    <mergeCell ref="I70:L70"/>
    <mergeCell ref="I58:K58"/>
    <mergeCell ref="R13:R15"/>
    <mergeCell ref="I69:L69"/>
    <mergeCell ref="I59:K59"/>
    <mergeCell ref="I60:K60"/>
    <mergeCell ref="L60:R60"/>
    <mergeCell ref="I66:K66"/>
    <mergeCell ref="I61:K61"/>
    <mergeCell ref="I62:K62"/>
    <mergeCell ref="I63:K63"/>
    <mergeCell ref="I64:K64"/>
    <mergeCell ref="I65:K65"/>
    <mergeCell ref="I68:M68"/>
    <mergeCell ref="A18:R18"/>
    <mergeCell ref="B19:H19"/>
    <mergeCell ref="A20:R20"/>
    <mergeCell ref="B21:H21"/>
    <mergeCell ref="A22:R22"/>
    <mergeCell ref="B23:H23"/>
    <mergeCell ref="A24:R24"/>
    <mergeCell ref="B25:H25"/>
    <mergeCell ref="A26:R26"/>
    <mergeCell ref="B27:H27"/>
    <mergeCell ref="A28:R28"/>
    <mergeCell ref="B29:H29"/>
    <mergeCell ref="A30:R30"/>
    <mergeCell ref="B31:H31"/>
    <mergeCell ref="A32:R32"/>
    <mergeCell ref="B33:H33"/>
    <mergeCell ref="A34:R34"/>
    <mergeCell ref="B35:H35"/>
    <mergeCell ref="A36:R36"/>
    <mergeCell ref="B37:H37"/>
    <mergeCell ref="A38:R38"/>
    <mergeCell ref="A44:R44"/>
    <mergeCell ref="B45:H45"/>
    <mergeCell ref="A46:R46"/>
    <mergeCell ref="B47:H47"/>
    <mergeCell ref="B39:H39"/>
    <mergeCell ref="A40:R40"/>
    <mergeCell ref="B41:H41"/>
    <mergeCell ref="A42:R42"/>
    <mergeCell ref="B43:H43"/>
  </mergeCells>
  <phoneticPr fontId="6" type="noConversion"/>
  <conditionalFormatting sqref="I19 I21 I23 I25 I27 I29 I31 I33 I35 I37 I39 I41 I43 I45 I47">
    <cfRule type="iconSet" priority="372">
      <iconSet iconSet="3Arrows">
        <cfvo type="percent" val="0"/>
        <cfvo type="percent" val="33"/>
        <cfvo type="percent" val="67"/>
      </iconSet>
    </cfRule>
  </conditionalFormatting>
  <pageMargins left="0.19685039370078741" right="0" top="0.47244094488188981" bottom="0.43307086614173229" header="0.23622047244094491" footer="0.23622047244094491"/>
  <pageSetup paperSize="9" scale="64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errorStyle="information" allowBlank="1" showInputMessage="1" showErrorMessage="1" xr:uid="{00000000-0002-0000-0000-000000000000}">
          <x14:formula1>
            <xm:f>Лист1!$A$1:$A$11</xm:f>
          </x14:formula1>
          <xm:sqref>B13:H13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O222"/>
  <sheetViews>
    <sheetView showGridLines="0" topLeftCell="A79" zoomScale="115" zoomScaleNormal="115" zoomScaleSheetLayoutView="75" workbookViewId="0">
      <selection activeCell="C93" sqref="C93"/>
    </sheetView>
  </sheetViews>
  <sheetFormatPr defaultColWidth="9.109375" defaultRowHeight="13.2" x14ac:dyDescent="0.25"/>
  <cols>
    <col min="1" max="1" width="3.5546875" style="39" customWidth="1"/>
    <col min="2" max="2" width="21.6640625" style="2" customWidth="1"/>
    <col min="3" max="3" width="42.44140625" style="3" customWidth="1"/>
    <col min="4" max="5" width="9.88671875" style="52" customWidth="1"/>
    <col min="6" max="6" width="14.5546875" style="1" customWidth="1"/>
    <col min="7" max="7" width="11.33203125" style="45" customWidth="1"/>
    <col min="8" max="8" width="15.5546875" style="1" customWidth="1"/>
    <col min="9" max="9" width="13.33203125" style="1" customWidth="1"/>
    <col min="10" max="10" width="13.6640625" style="1" customWidth="1"/>
    <col min="11" max="16384" width="9.109375" style="1"/>
  </cols>
  <sheetData>
    <row r="1" spans="1:12" ht="18" x14ac:dyDescent="0.35">
      <c r="B1" s="223" t="s">
        <v>70</v>
      </c>
      <c r="C1" s="223"/>
      <c r="D1" s="223"/>
      <c r="E1" s="223"/>
      <c r="F1" s="223"/>
      <c r="G1" s="223"/>
      <c r="H1" s="223"/>
      <c r="I1" s="223"/>
      <c r="J1" s="223"/>
      <c r="K1" s="55"/>
      <c r="L1" s="55"/>
    </row>
    <row r="4" spans="1:12" ht="15.6" x14ac:dyDescent="0.3">
      <c r="B4" s="57" t="s">
        <v>71</v>
      </c>
      <c r="F4" s="57" t="s">
        <v>72</v>
      </c>
      <c r="G4" s="57"/>
      <c r="H4" s="57"/>
      <c r="I4" s="57"/>
      <c r="J4" s="57"/>
    </row>
    <row r="5" spans="1:12" ht="15.6" x14ac:dyDescent="0.3">
      <c r="B5" s="59" t="s">
        <v>80</v>
      </c>
      <c r="F5" s="60" t="s">
        <v>73</v>
      </c>
      <c r="G5" s="60"/>
      <c r="H5" s="60"/>
      <c r="I5" s="60"/>
      <c r="J5" s="58"/>
    </row>
    <row r="6" spans="1:12" ht="15.6" x14ac:dyDescent="0.3">
      <c r="B6" s="61" t="s">
        <v>81</v>
      </c>
      <c r="F6" s="61" t="s">
        <v>74</v>
      </c>
      <c r="G6" s="61"/>
      <c r="H6" s="61"/>
      <c r="I6" s="61"/>
      <c r="J6" s="56"/>
    </row>
    <row r="9" spans="1:12" ht="20.25" customHeight="1" x14ac:dyDescent="0.25"/>
    <row r="10" spans="1:12" ht="18.75" customHeight="1" x14ac:dyDescent="0.25"/>
    <row r="11" spans="1:12" ht="17.399999999999999" x14ac:dyDescent="0.25">
      <c r="C11" s="213" t="s">
        <v>76</v>
      </c>
      <c r="D11" s="213"/>
      <c r="E11" s="213"/>
      <c r="F11" s="213"/>
      <c r="G11" s="213"/>
      <c r="H11" s="213"/>
    </row>
    <row r="12" spans="1:12" ht="15.6" x14ac:dyDescent="0.25">
      <c r="C12" s="221" t="s">
        <v>75</v>
      </c>
      <c r="D12" s="221"/>
      <c r="E12" s="221"/>
      <c r="F12" s="221"/>
      <c r="G12" s="221"/>
      <c r="H12" s="221"/>
    </row>
    <row r="14" spans="1:12" ht="15.6" x14ac:dyDescent="0.25">
      <c r="A14" s="222" t="s">
        <v>79</v>
      </c>
      <c r="B14" s="222"/>
      <c r="C14" s="222"/>
      <c r="D14" s="222"/>
      <c r="E14" s="222"/>
      <c r="F14" s="222"/>
      <c r="G14" s="222"/>
      <c r="H14" s="222"/>
      <c r="I14" s="222"/>
      <c r="J14" s="222"/>
    </row>
    <row r="15" spans="1:12" ht="12.75" customHeight="1" x14ac:dyDescent="0.25">
      <c r="A15" s="227"/>
      <c r="B15" s="227"/>
      <c r="C15" s="227"/>
      <c r="D15" s="227"/>
      <c r="E15" s="227"/>
      <c r="F15" s="227"/>
      <c r="G15" s="227"/>
      <c r="H15" s="227"/>
      <c r="I15" s="40"/>
      <c r="J15" s="8"/>
    </row>
    <row r="16" spans="1:12" x14ac:dyDescent="0.25">
      <c r="A16" s="227"/>
      <c r="B16" s="227"/>
      <c r="C16" s="227"/>
      <c r="D16" s="227"/>
      <c r="E16" s="227"/>
      <c r="F16" s="227"/>
      <c r="G16" s="227"/>
      <c r="H16" s="227"/>
      <c r="I16" s="40"/>
      <c r="J16" s="8"/>
    </row>
    <row r="17" spans="1:12" ht="24.9" customHeight="1" x14ac:dyDescent="0.25">
      <c r="A17" s="238" t="s">
        <v>0</v>
      </c>
      <c r="B17" s="239" t="s">
        <v>3</v>
      </c>
      <c r="C17" s="238" t="s">
        <v>1</v>
      </c>
      <c r="D17" s="235" t="s">
        <v>43</v>
      </c>
      <c r="E17" s="235" t="s">
        <v>2</v>
      </c>
      <c r="F17" s="237" t="s">
        <v>19</v>
      </c>
      <c r="G17" s="236" t="s">
        <v>37</v>
      </c>
      <c r="H17" s="228" t="s">
        <v>38</v>
      </c>
      <c r="I17" s="228" t="s">
        <v>41</v>
      </c>
      <c r="J17" s="242" t="s">
        <v>42</v>
      </c>
    </row>
    <row r="18" spans="1:12" ht="13.5" customHeight="1" x14ac:dyDescent="0.25">
      <c r="A18" s="238"/>
      <c r="B18" s="239"/>
      <c r="C18" s="238"/>
      <c r="D18" s="235"/>
      <c r="E18" s="235"/>
      <c r="F18" s="237"/>
      <c r="G18" s="236"/>
      <c r="H18" s="228"/>
      <c r="I18" s="228"/>
      <c r="J18" s="242"/>
    </row>
    <row r="19" spans="1:12" ht="12.75" customHeight="1" x14ac:dyDescent="0.25">
      <c r="A19" s="238"/>
      <c r="B19" s="240"/>
      <c r="C19" s="241"/>
      <c r="D19" s="235"/>
      <c r="E19" s="235"/>
      <c r="F19" s="237"/>
      <c r="G19" s="236"/>
      <c r="H19" s="228"/>
      <c r="I19" s="228"/>
      <c r="J19" s="242"/>
    </row>
    <row r="20" spans="1:12" x14ac:dyDescent="0.25">
      <c r="A20" s="6">
        <v>1</v>
      </c>
      <c r="B20" s="6">
        <v>2</v>
      </c>
      <c r="C20" s="6">
        <v>3</v>
      </c>
      <c r="D20" s="47">
        <v>4</v>
      </c>
      <c r="E20" s="47">
        <v>5</v>
      </c>
      <c r="F20" s="6">
        <v>6</v>
      </c>
      <c r="G20" s="41">
        <v>7</v>
      </c>
      <c r="H20" s="6">
        <v>8</v>
      </c>
      <c r="I20" s="6">
        <v>9</v>
      </c>
      <c r="J20" s="6">
        <v>10</v>
      </c>
    </row>
    <row r="21" spans="1:12" ht="15.75" customHeight="1" x14ac:dyDescent="0.25">
      <c r="A21" s="232" t="s">
        <v>4</v>
      </c>
      <c r="B21" s="233"/>
      <c r="C21" s="233"/>
      <c r="D21" s="233"/>
      <c r="E21" s="233"/>
      <c r="F21" s="233"/>
      <c r="G21" s="233"/>
      <c r="H21" s="233"/>
      <c r="I21" s="233"/>
      <c r="J21" s="234"/>
    </row>
    <row r="22" spans="1:12" ht="15.75" customHeight="1" x14ac:dyDescent="0.25">
      <c r="A22" s="229" t="s">
        <v>5</v>
      </c>
      <c r="B22" s="230"/>
      <c r="C22" s="230"/>
      <c r="D22" s="230"/>
      <c r="E22" s="230"/>
      <c r="F22" s="230"/>
      <c r="G22" s="230"/>
      <c r="H22" s="230"/>
      <c r="I22" s="230"/>
      <c r="J22" s="231"/>
    </row>
    <row r="23" spans="1:12" ht="15.75" customHeight="1" x14ac:dyDescent="0.25">
      <c r="A23" s="224" t="s">
        <v>6</v>
      </c>
      <c r="B23" s="225"/>
      <c r="C23" s="225"/>
      <c r="D23" s="225"/>
      <c r="E23" s="225"/>
      <c r="F23" s="225"/>
      <c r="G23" s="225"/>
      <c r="H23" s="225"/>
      <c r="I23" s="225"/>
      <c r="J23" s="226"/>
    </row>
    <row r="24" spans="1:12" ht="45" customHeight="1" x14ac:dyDescent="0.25">
      <c r="A24" s="35" t="s">
        <v>7</v>
      </c>
      <c r="B24" s="33" t="s">
        <v>8</v>
      </c>
      <c r="C24" s="31" t="s">
        <v>97</v>
      </c>
      <c r="D24" s="48"/>
      <c r="E24" s="48" t="s">
        <v>9</v>
      </c>
      <c r="F24" s="24">
        <v>81.400000000000006</v>
      </c>
      <c r="G24" s="42">
        <v>180</v>
      </c>
      <c r="H24" s="24">
        <f>F24*G24</f>
        <v>14652.000000000002</v>
      </c>
      <c r="I24" s="24"/>
      <c r="J24" s="25">
        <f>H24+I25+I26</f>
        <v>21440.760000000002</v>
      </c>
      <c r="K24" s="1">
        <f>54+10.5+12.9+4</f>
        <v>81.400000000000006</v>
      </c>
      <c r="L24" s="1">
        <f>54+10.5+4+12.9</f>
        <v>81.400000000000006</v>
      </c>
    </row>
    <row r="25" spans="1:12" s="11" customFormat="1" ht="15.6" x14ac:dyDescent="0.25">
      <c r="A25" s="36"/>
      <c r="B25" s="20" t="s">
        <v>49</v>
      </c>
      <c r="C25" s="10" t="s">
        <v>52</v>
      </c>
      <c r="D25" s="49">
        <v>0.2</v>
      </c>
      <c r="E25" s="49"/>
      <c r="F25" s="16"/>
      <c r="G25" s="43">
        <v>37</v>
      </c>
      <c r="H25" s="7"/>
      <c r="I25" s="9">
        <f>G25*D25*F24</f>
        <v>602.36000000000013</v>
      </c>
      <c r="J25" s="12"/>
    </row>
    <row r="26" spans="1:12" s="11" customFormat="1" ht="15.6" x14ac:dyDescent="0.25">
      <c r="A26" s="36"/>
      <c r="B26" s="20" t="s">
        <v>49</v>
      </c>
      <c r="C26" s="10" t="s">
        <v>53</v>
      </c>
      <c r="D26" s="49">
        <v>12</v>
      </c>
      <c r="E26" s="49"/>
      <c r="F26" s="16"/>
      <c r="G26" s="43">
        <f>190/30</f>
        <v>6.333333333333333</v>
      </c>
      <c r="I26" s="7">
        <f>G26*D26*F24</f>
        <v>6186.4000000000005</v>
      </c>
      <c r="J26" s="12"/>
    </row>
    <row r="27" spans="1:12" ht="21" customHeight="1" x14ac:dyDescent="0.25">
      <c r="A27" s="35">
        <v>2</v>
      </c>
      <c r="B27" s="33" t="s">
        <v>8</v>
      </c>
      <c r="C27" s="22" t="s">
        <v>39</v>
      </c>
      <c r="D27" s="48"/>
      <c r="E27" s="48" t="s">
        <v>9</v>
      </c>
      <c r="F27" s="24">
        <v>81.400000000000006</v>
      </c>
      <c r="G27" s="42">
        <v>115</v>
      </c>
      <c r="H27" s="24">
        <f>F27*G27</f>
        <v>9361</v>
      </c>
      <c r="I27" s="24"/>
      <c r="J27" s="25">
        <f>H27+I28+I29</f>
        <v>10093.6</v>
      </c>
    </row>
    <row r="28" spans="1:12" s="11" customFormat="1" ht="15.6" x14ac:dyDescent="0.25">
      <c r="A28" s="36"/>
      <c r="B28" s="20" t="s">
        <v>49</v>
      </c>
      <c r="C28" s="10" t="s">
        <v>58</v>
      </c>
      <c r="D28" s="49">
        <v>0.2</v>
      </c>
      <c r="E28" s="49"/>
      <c r="F28" s="16"/>
      <c r="G28" s="44">
        <v>16</v>
      </c>
      <c r="H28" s="12"/>
      <c r="I28" s="7">
        <f>G28*D28*F27</f>
        <v>260.48</v>
      </c>
      <c r="J28" s="12"/>
    </row>
    <row r="29" spans="1:12" s="11" customFormat="1" ht="15.6" x14ac:dyDescent="0.25">
      <c r="A29" s="36"/>
      <c r="B29" s="20" t="s">
        <v>49</v>
      </c>
      <c r="C29" s="10" t="s">
        <v>54</v>
      </c>
      <c r="D29" s="49">
        <v>0.6</v>
      </c>
      <c r="E29" s="49"/>
      <c r="F29" s="16"/>
      <c r="G29" s="43">
        <f>290/30</f>
        <v>9.6666666666666661</v>
      </c>
      <c r="H29" s="12"/>
      <c r="I29" s="7">
        <f>G29*D29*F27</f>
        <v>472.12</v>
      </c>
      <c r="J29" s="12"/>
    </row>
    <row r="30" spans="1:12" x14ac:dyDescent="0.25">
      <c r="A30" s="35">
        <v>3</v>
      </c>
      <c r="B30" s="33" t="s">
        <v>8</v>
      </c>
      <c r="C30" s="22" t="s">
        <v>40</v>
      </c>
      <c r="D30" s="48"/>
      <c r="E30" s="48" t="s">
        <v>9</v>
      </c>
      <c r="F30" s="23">
        <v>81.400000000000006</v>
      </c>
      <c r="G30" s="42">
        <v>115</v>
      </c>
      <c r="H30" s="24">
        <f>F30*G30</f>
        <v>9361</v>
      </c>
      <c r="I30" s="26"/>
      <c r="J30" s="25">
        <f>H30+I31+I32+I33</f>
        <v>23800.107692307691</v>
      </c>
    </row>
    <row r="31" spans="1:12" s="11" customFormat="1" ht="15.6" x14ac:dyDescent="0.25">
      <c r="A31" s="36"/>
      <c r="B31" s="20" t="s">
        <v>49</v>
      </c>
      <c r="C31" s="10" t="s">
        <v>55</v>
      </c>
      <c r="D31" s="50">
        <v>0.2</v>
      </c>
      <c r="E31" s="50"/>
      <c r="F31" s="17"/>
      <c r="G31" s="44">
        <v>16</v>
      </c>
      <c r="H31" s="7"/>
      <c r="I31" s="7">
        <f>G31*D31*F30</f>
        <v>260.48</v>
      </c>
      <c r="J31" s="13"/>
    </row>
    <row r="32" spans="1:12" s="11" customFormat="1" ht="15.6" x14ac:dyDescent="0.25">
      <c r="A32" s="36"/>
      <c r="B32" s="20" t="s">
        <v>49</v>
      </c>
      <c r="C32" s="10" t="s">
        <v>56</v>
      </c>
      <c r="D32" s="50">
        <v>1.5</v>
      </c>
      <c r="E32" s="50"/>
      <c r="F32" s="17"/>
      <c r="G32" s="46">
        <f>980/25</f>
        <v>39.200000000000003</v>
      </c>
      <c r="H32" s="7"/>
      <c r="I32" s="7">
        <f>G32*D32*F30</f>
        <v>4786.3200000000006</v>
      </c>
      <c r="J32" s="13"/>
    </row>
    <row r="33" spans="1:14" s="11" customFormat="1" ht="15.6" x14ac:dyDescent="0.25">
      <c r="A33" s="36"/>
      <c r="B33" s="20" t="s">
        <v>49</v>
      </c>
      <c r="C33" s="10" t="s">
        <v>57</v>
      </c>
      <c r="D33" s="50">
        <v>0.5</v>
      </c>
      <c r="E33" s="50"/>
      <c r="F33" s="17"/>
      <c r="G33" s="43">
        <f>3000/13</f>
        <v>230.76923076923077</v>
      </c>
      <c r="H33" s="7"/>
      <c r="I33" s="9">
        <f>G33*D33*F30</f>
        <v>9392.3076923076933</v>
      </c>
      <c r="J33" s="13"/>
    </row>
    <row r="34" spans="1:14" ht="15.75" customHeight="1" x14ac:dyDescent="0.25">
      <c r="A34" s="224" t="s">
        <v>10</v>
      </c>
      <c r="B34" s="225"/>
      <c r="C34" s="225"/>
      <c r="D34" s="225"/>
      <c r="E34" s="225"/>
      <c r="F34" s="225"/>
      <c r="G34" s="225"/>
      <c r="H34" s="225"/>
      <c r="I34" s="225"/>
      <c r="J34" s="226"/>
    </row>
    <row r="35" spans="1:14" ht="53.25" customHeight="1" x14ac:dyDescent="0.25">
      <c r="A35" s="35" t="s">
        <v>11</v>
      </c>
      <c r="B35" s="33" t="s">
        <v>8</v>
      </c>
      <c r="C35" s="31" t="s">
        <v>99</v>
      </c>
      <c r="D35" s="48"/>
      <c r="E35" s="48" t="s">
        <v>9</v>
      </c>
      <c r="F35" s="24">
        <f>(11.4+31.4+10.1)*2.55</f>
        <v>134.89499999999998</v>
      </c>
      <c r="G35" s="42">
        <v>180</v>
      </c>
      <c r="H35" s="24">
        <f>F35*G35</f>
        <v>24281.1</v>
      </c>
      <c r="I35" s="24"/>
      <c r="J35" s="25">
        <f>H35+I36+I37</f>
        <v>38094.347999999998</v>
      </c>
      <c r="K35" s="1">
        <f>2.55*(9.8+32.3+11.1)</f>
        <v>135.65999999999997</v>
      </c>
    </row>
    <row r="36" spans="1:14" s="11" customFormat="1" ht="15.6" x14ac:dyDescent="0.25">
      <c r="A36" s="36"/>
      <c r="B36" s="20" t="s">
        <v>49</v>
      </c>
      <c r="C36" s="10" t="s">
        <v>59</v>
      </c>
      <c r="D36" s="49">
        <v>0.2</v>
      </c>
      <c r="E36" s="49"/>
      <c r="F36" s="16"/>
      <c r="G36" s="43">
        <v>37</v>
      </c>
      <c r="H36" s="7"/>
      <c r="I36" s="9">
        <f>G36*D36*F35</f>
        <v>998.22299999999996</v>
      </c>
      <c r="J36" s="12"/>
    </row>
    <row r="37" spans="1:14" s="11" customFormat="1" ht="15.6" x14ac:dyDescent="0.25">
      <c r="A37" s="36"/>
      <c r="B37" s="20" t="s">
        <v>49</v>
      </c>
      <c r="C37" s="10" t="s">
        <v>53</v>
      </c>
      <c r="D37" s="49">
        <v>15</v>
      </c>
      <c r="E37" s="49"/>
      <c r="F37" s="16"/>
      <c r="G37" s="43">
        <f>190/30</f>
        <v>6.333333333333333</v>
      </c>
      <c r="I37" s="7">
        <f>G37*D37*F35</f>
        <v>12815.024999999998</v>
      </c>
      <c r="J37" s="12"/>
    </row>
    <row r="38" spans="1:14" ht="36" x14ac:dyDescent="0.25">
      <c r="A38" s="35" t="s">
        <v>12</v>
      </c>
      <c r="B38" s="33" t="s">
        <v>8</v>
      </c>
      <c r="C38" s="34" t="s">
        <v>100</v>
      </c>
      <c r="D38" s="48"/>
      <c r="E38" s="48" t="s">
        <v>9</v>
      </c>
      <c r="F38" s="24">
        <f>2.55*23.8</f>
        <v>60.69</v>
      </c>
      <c r="G38" s="42">
        <v>195</v>
      </c>
      <c r="H38" s="24">
        <f>F38*G38</f>
        <v>11834.55</v>
      </c>
      <c r="I38" s="24"/>
      <c r="J38" s="25">
        <f>H38+I39+I40</f>
        <v>20294.735999999997</v>
      </c>
      <c r="K38" s="1">
        <f>(41.3+5+3.1+1+6.2)*2.55</f>
        <v>144.32999999999998</v>
      </c>
    </row>
    <row r="39" spans="1:14" s="11" customFormat="1" ht="15.6" x14ac:dyDescent="0.25">
      <c r="A39" s="36"/>
      <c r="B39" s="20" t="s">
        <v>49</v>
      </c>
      <c r="C39" s="10" t="s">
        <v>59</v>
      </c>
      <c r="D39" s="49">
        <v>0.2</v>
      </c>
      <c r="E39" s="49"/>
      <c r="F39" s="16"/>
      <c r="G39" s="43">
        <v>37</v>
      </c>
      <c r="H39" s="7"/>
      <c r="I39" s="7">
        <f>G39*D39*F38</f>
        <v>449.10599999999999</v>
      </c>
      <c r="J39" s="12"/>
    </row>
    <row r="40" spans="1:14" s="11" customFormat="1" ht="15.6" x14ac:dyDescent="0.25">
      <c r="A40" s="36"/>
      <c r="B40" s="20" t="s">
        <v>49</v>
      </c>
      <c r="C40" s="4" t="s">
        <v>60</v>
      </c>
      <c r="D40" s="49">
        <v>20</v>
      </c>
      <c r="E40" s="49"/>
      <c r="F40" s="16"/>
      <c r="G40" s="44">
        <f>165/25</f>
        <v>6.6</v>
      </c>
      <c r="H40" s="12"/>
      <c r="I40" s="7">
        <f>G40*D40*F38</f>
        <v>8011.08</v>
      </c>
      <c r="J40" s="12"/>
    </row>
    <row r="41" spans="1:14" ht="21" customHeight="1" x14ac:dyDescent="0.25">
      <c r="A41" s="35">
        <v>6</v>
      </c>
      <c r="B41" s="33" t="s">
        <v>8</v>
      </c>
      <c r="C41" s="31" t="s">
        <v>82</v>
      </c>
      <c r="D41" s="48"/>
      <c r="E41" s="48" t="s">
        <v>9</v>
      </c>
      <c r="F41" s="24">
        <f>F38+F35</f>
        <v>195.58499999999998</v>
      </c>
      <c r="G41" s="42">
        <v>115</v>
      </c>
      <c r="H41" s="24">
        <f>F41*G41</f>
        <v>22492.274999999998</v>
      </c>
      <c r="I41" s="26"/>
      <c r="J41" s="25">
        <f>H41+I42+I43</f>
        <v>24252.539999999997</v>
      </c>
      <c r="K41" s="1">
        <v>280</v>
      </c>
      <c r="N41" s="1">
        <f>25-12.5-8</f>
        <v>4.5</v>
      </c>
    </row>
    <row r="42" spans="1:14" s="11" customFormat="1" ht="15.6" x14ac:dyDescent="0.25">
      <c r="A42" s="36"/>
      <c r="B42" s="20" t="s">
        <v>49</v>
      </c>
      <c r="C42" s="10" t="s">
        <v>58</v>
      </c>
      <c r="D42" s="49">
        <v>0.2</v>
      </c>
      <c r="E42" s="49"/>
      <c r="F42" s="16"/>
      <c r="G42" s="44">
        <v>16</v>
      </c>
      <c r="H42" s="12"/>
      <c r="I42" s="7">
        <f>G42*D42*F41</f>
        <v>625.87199999999996</v>
      </c>
      <c r="J42" s="12"/>
    </row>
    <row r="43" spans="1:14" s="11" customFormat="1" ht="15.6" x14ac:dyDescent="0.25">
      <c r="A43" s="36"/>
      <c r="B43" s="20" t="s">
        <v>49</v>
      </c>
      <c r="C43" s="10" t="s">
        <v>54</v>
      </c>
      <c r="D43" s="49">
        <v>0.6</v>
      </c>
      <c r="E43" s="49"/>
      <c r="F43" s="16"/>
      <c r="G43" s="43">
        <f>290/30</f>
        <v>9.6666666666666661</v>
      </c>
      <c r="H43" s="12"/>
      <c r="I43" s="7">
        <f>G43*D43*F41</f>
        <v>1134.3929999999998</v>
      </c>
      <c r="J43" s="12"/>
    </row>
    <row r="44" spans="1:14" x14ac:dyDescent="0.25">
      <c r="A44" s="35">
        <v>7</v>
      </c>
      <c r="B44" s="33" t="s">
        <v>8</v>
      </c>
      <c r="C44" s="22" t="s">
        <v>40</v>
      </c>
      <c r="D44" s="48"/>
      <c r="E44" s="48" t="s">
        <v>9</v>
      </c>
      <c r="F44" s="23">
        <f>F41</f>
        <v>195.58499999999998</v>
      </c>
      <c r="G44" s="42">
        <v>115</v>
      </c>
      <c r="H44" s="24">
        <f>F44*G44</f>
        <v>22492.274999999998</v>
      </c>
      <c r="I44" s="26"/>
      <c r="J44" s="25">
        <f>H44+I45+I46+I47</f>
        <v>57186.044999999998</v>
      </c>
      <c r="K44" s="1">
        <v>280</v>
      </c>
    </row>
    <row r="45" spans="1:14" s="11" customFormat="1" ht="15.6" x14ac:dyDescent="0.25">
      <c r="A45" s="36"/>
      <c r="B45" s="20" t="s">
        <v>49</v>
      </c>
      <c r="C45" s="10" t="s">
        <v>55</v>
      </c>
      <c r="D45" s="50">
        <v>0.2</v>
      </c>
      <c r="E45" s="50"/>
      <c r="F45" s="17"/>
      <c r="G45" s="44">
        <v>16</v>
      </c>
      <c r="H45" s="7"/>
      <c r="I45" s="9">
        <f>G45*D45*F44</f>
        <v>625.87199999999996</v>
      </c>
      <c r="J45" s="13"/>
    </row>
    <row r="46" spans="1:14" s="11" customFormat="1" ht="15.6" x14ac:dyDescent="0.25">
      <c r="A46" s="36"/>
      <c r="B46" s="20" t="s">
        <v>49</v>
      </c>
      <c r="C46" s="10" t="s">
        <v>56</v>
      </c>
      <c r="D46" s="50">
        <v>1.5</v>
      </c>
      <c r="E46" s="50"/>
      <c r="F46" s="17"/>
      <c r="G46" s="46">
        <f>980/25</f>
        <v>39.200000000000003</v>
      </c>
      <c r="H46" s="7"/>
      <c r="I46" s="9">
        <f>G46*D46*F44</f>
        <v>11500.397999999999</v>
      </c>
      <c r="J46" s="13"/>
    </row>
    <row r="47" spans="1:14" s="11" customFormat="1" ht="15.6" x14ac:dyDescent="0.25">
      <c r="A47" s="36"/>
      <c r="B47" s="20" t="s">
        <v>49</v>
      </c>
      <c r="C47" s="10" t="s">
        <v>57</v>
      </c>
      <c r="D47" s="50">
        <v>0.5</v>
      </c>
      <c r="E47" s="50"/>
      <c r="F47" s="17"/>
      <c r="G47" s="43">
        <f>3000/13</f>
        <v>230.76923076923077</v>
      </c>
      <c r="H47" s="7"/>
      <c r="I47" s="9">
        <f>G47*D47*F44</f>
        <v>22567.499999999996</v>
      </c>
      <c r="J47" s="13"/>
    </row>
    <row r="48" spans="1:14" ht="15.75" customHeight="1" x14ac:dyDescent="0.25">
      <c r="A48" s="232" t="s">
        <v>14</v>
      </c>
      <c r="B48" s="233"/>
      <c r="C48" s="233"/>
      <c r="D48" s="233"/>
      <c r="E48" s="233"/>
      <c r="F48" s="233"/>
      <c r="G48" s="233"/>
      <c r="H48" s="233"/>
      <c r="I48" s="233"/>
      <c r="J48" s="234"/>
    </row>
    <row r="49" spans="1:12" ht="15.75" customHeight="1" x14ac:dyDescent="0.25">
      <c r="A49" s="224" t="s">
        <v>15</v>
      </c>
      <c r="B49" s="225"/>
      <c r="C49" s="225"/>
      <c r="D49" s="225"/>
      <c r="E49" s="225"/>
      <c r="F49" s="225"/>
      <c r="G49" s="225"/>
      <c r="H49" s="225"/>
      <c r="I49" s="225"/>
      <c r="J49" s="226"/>
    </row>
    <row r="50" spans="1:12" ht="15.75" customHeight="1" x14ac:dyDescent="0.25">
      <c r="A50" s="224" t="s">
        <v>6</v>
      </c>
      <c r="B50" s="225"/>
      <c r="C50" s="225"/>
      <c r="D50" s="225"/>
      <c r="E50" s="225"/>
      <c r="F50" s="225"/>
      <c r="G50" s="225"/>
      <c r="H50" s="225"/>
      <c r="I50" s="225"/>
      <c r="J50" s="226"/>
    </row>
    <row r="51" spans="1:12" ht="54.75" customHeight="1" x14ac:dyDescent="0.25">
      <c r="A51" s="35">
        <v>8</v>
      </c>
      <c r="B51" s="33" t="s">
        <v>8</v>
      </c>
      <c r="C51" s="31" t="s">
        <v>101</v>
      </c>
      <c r="D51" s="48"/>
      <c r="E51" s="48" t="s">
        <v>9</v>
      </c>
      <c r="F51" s="24">
        <v>645.20000000000005</v>
      </c>
      <c r="G51" s="42">
        <v>180</v>
      </c>
      <c r="H51" s="24">
        <f>F51*G51</f>
        <v>116136.00000000001</v>
      </c>
      <c r="I51" s="26"/>
      <c r="J51" s="25">
        <f>H51+I52+I53</f>
        <v>169945.68000000002</v>
      </c>
      <c r="K51" s="1">
        <f>31+20.8+31+7*(31+20.8+31)</f>
        <v>662.4</v>
      </c>
      <c r="L51" s="1">
        <f>31+20.8+31+7*(31+20.8+31)</f>
        <v>662.4</v>
      </c>
    </row>
    <row r="52" spans="1:12" s="11" customFormat="1" ht="15.6" x14ac:dyDescent="0.25">
      <c r="A52" s="36"/>
      <c r="B52" s="20" t="s">
        <v>49</v>
      </c>
      <c r="C52" s="10" t="s">
        <v>59</v>
      </c>
      <c r="D52" s="49">
        <v>0.2</v>
      </c>
      <c r="E52" s="49"/>
      <c r="F52" s="16"/>
      <c r="G52" s="43">
        <v>37</v>
      </c>
      <c r="H52" s="7"/>
      <c r="I52" s="9">
        <f>G52*D52*F51</f>
        <v>4774.4800000000005</v>
      </c>
      <c r="J52" s="12"/>
    </row>
    <row r="53" spans="1:12" s="11" customFormat="1" ht="15.6" x14ac:dyDescent="0.25">
      <c r="A53" s="36"/>
      <c r="B53" s="20" t="s">
        <v>49</v>
      </c>
      <c r="C53" s="10" t="s">
        <v>53</v>
      </c>
      <c r="D53" s="49">
        <v>12</v>
      </c>
      <c r="E53" s="49"/>
      <c r="F53" s="16"/>
      <c r="G53" s="43">
        <f>190/30</f>
        <v>6.333333333333333</v>
      </c>
      <c r="I53" s="9">
        <f>G53*D53*F51</f>
        <v>49035.200000000004</v>
      </c>
      <c r="J53" s="12"/>
    </row>
    <row r="54" spans="1:12" ht="21" customHeight="1" x14ac:dyDescent="0.25">
      <c r="A54" s="35">
        <v>9</v>
      </c>
      <c r="B54" s="33" t="s">
        <v>8</v>
      </c>
      <c r="C54" s="22" t="s">
        <v>39</v>
      </c>
      <c r="D54" s="48"/>
      <c r="E54" s="48" t="s">
        <v>9</v>
      </c>
      <c r="F54" s="24">
        <v>645.20000000000005</v>
      </c>
      <c r="G54" s="42">
        <v>115</v>
      </c>
      <c r="H54" s="24">
        <f>F54*G54</f>
        <v>74198</v>
      </c>
      <c r="I54" s="24"/>
      <c r="J54" s="25">
        <f>H54+I55+I56</f>
        <v>80004.800000000003</v>
      </c>
    </row>
    <row r="55" spans="1:12" s="11" customFormat="1" ht="15.6" x14ac:dyDescent="0.25">
      <c r="A55" s="36"/>
      <c r="B55" s="20" t="s">
        <v>49</v>
      </c>
      <c r="C55" s="10" t="s">
        <v>58</v>
      </c>
      <c r="D55" s="49">
        <v>0.2</v>
      </c>
      <c r="E55" s="49"/>
      <c r="F55" s="16"/>
      <c r="G55" s="44">
        <v>16</v>
      </c>
      <c r="H55" s="12"/>
      <c r="I55" s="7">
        <f>G55*D55*F54</f>
        <v>2064.6400000000003</v>
      </c>
      <c r="J55" s="12"/>
    </row>
    <row r="56" spans="1:12" s="11" customFormat="1" ht="15.6" x14ac:dyDescent="0.25">
      <c r="A56" s="36"/>
      <c r="B56" s="20" t="s">
        <v>49</v>
      </c>
      <c r="C56" s="10" t="s">
        <v>61</v>
      </c>
      <c r="D56" s="49">
        <v>0.6</v>
      </c>
      <c r="E56" s="49"/>
      <c r="F56" s="16"/>
      <c r="G56" s="43">
        <f>290/30</f>
        <v>9.6666666666666661</v>
      </c>
      <c r="H56" s="12"/>
      <c r="I56" s="7">
        <f>G56*D56*F54</f>
        <v>3742.1600000000003</v>
      </c>
      <c r="J56" s="12"/>
    </row>
    <row r="57" spans="1:12" ht="27.75" customHeight="1" x14ac:dyDescent="0.25">
      <c r="A57" s="35">
        <v>10</v>
      </c>
      <c r="B57" s="33" t="s">
        <v>8</v>
      </c>
      <c r="C57" s="22" t="s">
        <v>40</v>
      </c>
      <c r="D57" s="48"/>
      <c r="E57" s="48" t="s">
        <v>9</v>
      </c>
      <c r="F57" s="24">
        <v>645.20000000000005</v>
      </c>
      <c r="G57" s="42">
        <v>115</v>
      </c>
      <c r="H57" s="24">
        <f>F57*G57</f>
        <v>74198</v>
      </c>
      <c r="I57" s="24"/>
      <c r="J57" s="25">
        <f>H57+I58+I59+I60</f>
        <v>188646.55384615384</v>
      </c>
    </row>
    <row r="58" spans="1:12" s="11" customFormat="1" ht="15.6" x14ac:dyDescent="0.25">
      <c r="A58" s="36"/>
      <c r="B58" s="20" t="s">
        <v>49</v>
      </c>
      <c r="C58" s="10" t="s">
        <v>55</v>
      </c>
      <c r="D58" s="50">
        <v>0.2</v>
      </c>
      <c r="E58" s="50"/>
      <c r="F58" s="17"/>
      <c r="G58" s="44">
        <v>16</v>
      </c>
      <c r="H58" s="7"/>
      <c r="I58" s="7">
        <f>G58*D58*F57</f>
        <v>2064.6400000000003</v>
      </c>
      <c r="J58" s="13"/>
    </row>
    <row r="59" spans="1:12" s="11" customFormat="1" ht="15.6" x14ac:dyDescent="0.25">
      <c r="A59" s="36"/>
      <c r="B59" s="20" t="s">
        <v>49</v>
      </c>
      <c r="C59" s="10" t="s">
        <v>62</v>
      </c>
      <c r="D59" s="50">
        <v>1.5</v>
      </c>
      <c r="E59" s="50"/>
      <c r="F59" s="17"/>
      <c r="G59" s="46">
        <f>980/25</f>
        <v>39.200000000000003</v>
      </c>
      <c r="H59" s="7"/>
      <c r="I59" s="7">
        <f>G59*D59*F57</f>
        <v>37937.760000000002</v>
      </c>
      <c r="J59" s="13"/>
    </row>
    <row r="60" spans="1:12" s="11" customFormat="1" ht="15.6" x14ac:dyDescent="0.25">
      <c r="A60" s="36"/>
      <c r="B60" s="20" t="s">
        <v>49</v>
      </c>
      <c r="C60" s="10" t="s">
        <v>57</v>
      </c>
      <c r="D60" s="50">
        <v>0.5</v>
      </c>
      <c r="E60" s="50"/>
      <c r="F60" s="17"/>
      <c r="G60" s="43">
        <f>3000/13</f>
        <v>230.76923076923077</v>
      </c>
      <c r="H60" s="7"/>
      <c r="I60" s="9">
        <f>G60*D60*F57</f>
        <v>74446.153846153858</v>
      </c>
      <c r="J60" s="13"/>
    </row>
    <row r="61" spans="1:12" ht="14.4" x14ac:dyDescent="0.25">
      <c r="A61" s="224" t="s">
        <v>10</v>
      </c>
      <c r="B61" s="225"/>
      <c r="C61" s="225"/>
      <c r="D61" s="225"/>
      <c r="E61" s="225"/>
      <c r="F61" s="225"/>
      <c r="G61" s="225"/>
      <c r="H61" s="225"/>
      <c r="I61" s="225"/>
      <c r="J61" s="226"/>
    </row>
    <row r="62" spans="1:12" ht="48" x14ac:dyDescent="0.25">
      <c r="A62" s="35">
        <v>11</v>
      </c>
      <c r="B62" s="33" t="s">
        <v>8</v>
      </c>
      <c r="C62" s="22" t="s">
        <v>99</v>
      </c>
      <c r="D62" s="48"/>
      <c r="E62" s="48" t="s">
        <v>9</v>
      </c>
      <c r="F62" s="24">
        <f>(43+14.5+43)*2.81+(41.8+14.9+41.3)*2.81*7</f>
        <v>2210.0650000000001</v>
      </c>
      <c r="G62" s="42">
        <v>180</v>
      </c>
      <c r="H62" s="24">
        <f>F62*G62</f>
        <v>397811.7</v>
      </c>
      <c r="I62" s="26"/>
      <c r="J62" s="25">
        <f>H62+I63+I64</f>
        <v>624122.35600000003</v>
      </c>
      <c r="K62" s="1">
        <f>(43+14.5+43)*2.81+(41.8+14.9+41.3)*2.81*7</f>
        <v>2210.0650000000001</v>
      </c>
    </row>
    <row r="63" spans="1:12" s="11" customFormat="1" ht="15.6" x14ac:dyDescent="0.25">
      <c r="A63" s="36"/>
      <c r="B63" s="20" t="s">
        <v>49</v>
      </c>
      <c r="C63" s="10" t="s">
        <v>52</v>
      </c>
      <c r="D63" s="49">
        <v>0.2</v>
      </c>
      <c r="E63" s="49"/>
      <c r="F63" s="16"/>
      <c r="G63" s="43">
        <v>37</v>
      </c>
      <c r="H63" s="7"/>
      <c r="I63" s="7">
        <f>G63*D63*F62</f>
        <v>16354.481000000002</v>
      </c>
      <c r="J63" s="12"/>
    </row>
    <row r="64" spans="1:12" s="11" customFormat="1" ht="15.6" x14ac:dyDescent="0.25">
      <c r="A64" s="36"/>
      <c r="B64" s="20" t="s">
        <v>49</v>
      </c>
      <c r="C64" s="10" t="s">
        <v>53</v>
      </c>
      <c r="D64" s="49">
        <v>15</v>
      </c>
      <c r="E64" s="49"/>
      <c r="F64" s="16"/>
      <c r="G64" s="43">
        <f>190/30</f>
        <v>6.333333333333333</v>
      </c>
      <c r="I64" s="7">
        <f>G64*D64*F62</f>
        <v>209956.17500000002</v>
      </c>
      <c r="J64" s="12"/>
    </row>
    <row r="65" spans="1:15" ht="34.5" customHeight="1" x14ac:dyDescent="0.25">
      <c r="A65" s="35">
        <v>12</v>
      </c>
      <c r="B65" s="33" t="s">
        <v>8</v>
      </c>
      <c r="C65" s="22" t="s">
        <v>102</v>
      </c>
      <c r="D65" s="48"/>
      <c r="E65" s="48" t="s">
        <v>9</v>
      </c>
      <c r="F65" s="24">
        <f>9.9*2.81*7+19.2</f>
        <v>213.93299999999999</v>
      </c>
      <c r="G65" s="42">
        <v>180</v>
      </c>
      <c r="H65" s="24">
        <f>F65*G65</f>
        <v>38507.94</v>
      </c>
      <c r="I65" s="26"/>
      <c r="J65" s="25">
        <f>H65+I66+I67</f>
        <v>56349.9522</v>
      </c>
    </row>
    <row r="66" spans="1:15" s="11" customFormat="1" ht="15.6" x14ac:dyDescent="0.25">
      <c r="A66" s="36"/>
      <c r="B66" s="20" t="s">
        <v>49</v>
      </c>
      <c r="C66" s="10" t="s">
        <v>52</v>
      </c>
      <c r="D66" s="49">
        <v>0.2</v>
      </c>
      <c r="E66" s="49"/>
      <c r="F66" s="16"/>
      <c r="G66" s="43">
        <v>37</v>
      </c>
      <c r="H66" s="7"/>
      <c r="I66" s="7">
        <f>G66*D66*F65</f>
        <v>1583.1042</v>
      </c>
      <c r="J66" s="12"/>
    </row>
    <row r="67" spans="1:15" s="11" customFormat="1" ht="15.6" x14ac:dyDescent="0.25">
      <c r="A67" s="36"/>
      <c r="B67" s="20" t="s">
        <v>49</v>
      </c>
      <c r="C67" s="10" t="s">
        <v>53</v>
      </c>
      <c r="D67" s="49">
        <v>12</v>
      </c>
      <c r="E67" s="49"/>
      <c r="F67" s="16"/>
      <c r="G67" s="43">
        <f>190/30</f>
        <v>6.333333333333333</v>
      </c>
      <c r="I67" s="7">
        <f>G67*D67*F65</f>
        <v>16258.907999999999</v>
      </c>
      <c r="J67" s="12"/>
    </row>
    <row r="68" spans="1:15" ht="21" customHeight="1" x14ac:dyDescent="0.25">
      <c r="A68" s="35">
        <v>13</v>
      </c>
      <c r="B68" s="33" t="s">
        <v>8</v>
      </c>
      <c r="C68" s="22" t="s">
        <v>39</v>
      </c>
      <c r="D68" s="48"/>
      <c r="E68" s="48" t="s">
        <v>9</v>
      </c>
      <c r="F68" s="24">
        <f>F65+F62</f>
        <v>2423.998</v>
      </c>
      <c r="G68" s="42">
        <v>115</v>
      </c>
      <c r="H68" s="24">
        <f>F68*G68</f>
        <v>278759.77</v>
      </c>
      <c r="I68" s="24"/>
      <c r="J68" s="25">
        <f>H68+I69+I70</f>
        <v>300575.75199999998</v>
      </c>
    </row>
    <row r="69" spans="1:15" s="11" customFormat="1" ht="15.6" x14ac:dyDescent="0.25">
      <c r="A69" s="36"/>
      <c r="B69" s="20" t="s">
        <v>49</v>
      </c>
      <c r="C69" s="10" t="s">
        <v>58</v>
      </c>
      <c r="D69" s="49">
        <v>0.2</v>
      </c>
      <c r="E69" s="49"/>
      <c r="F69" s="16"/>
      <c r="G69" s="44">
        <v>16</v>
      </c>
      <c r="H69" s="12"/>
      <c r="I69" s="7">
        <f>G69*D69*F68</f>
        <v>7756.7936000000009</v>
      </c>
      <c r="J69" s="12"/>
    </row>
    <row r="70" spans="1:15" s="11" customFormat="1" ht="15.6" x14ac:dyDescent="0.25">
      <c r="A70" s="36"/>
      <c r="B70" s="20" t="s">
        <v>49</v>
      </c>
      <c r="C70" s="10" t="s">
        <v>61</v>
      </c>
      <c r="D70" s="49">
        <v>0.6</v>
      </c>
      <c r="E70" s="49"/>
      <c r="F70" s="16"/>
      <c r="G70" s="43">
        <f>290/30</f>
        <v>9.6666666666666661</v>
      </c>
      <c r="H70" s="12"/>
      <c r="I70" s="7">
        <f>G70*D70*F68</f>
        <v>14059.188399999999</v>
      </c>
      <c r="J70" s="12"/>
    </row>
    <row r="71" spans="1:15" x14ac:dyDescent="0.25">
      <c r="A71" s="35">
        <v>14</v>
      </c>
      <c r="B71" s="33" t="s">
        <v>8</v>
      </c>
      <c r="C71" s="22" t="s">
        <v>40</v>
      </c>
      <c r="D71" s="48"/>
      <c r="E71" s="48" t="s">
        <v>9</v>
      </c>
      <c r="F71" s="24">
        <f>F68</f>
        <v>2423.998</v>
      </c>
      <c r="G71" s="42">
        <v>115</v>
      </c>
      <c r="H71" s="24">
        <f>F71*G71</f>
        <v>278759.77</v>
      </c>
      <c r="I71" s="24"/>
      <c r="J71" s="25">
        <f>H71+I72+I73+I74</f>
        <v>708739.72292307694</v>
      </c>
    </row>
    <row r="72" spans="1:15" s="11" customFormat="1" ht="15.6" x14ac:dyDescent="0.25">
      <c r="A72" s="36"/>
      <c r="B72" s="20" t="s">
        <v>49</v>
      </c>
      <c r="C72" s="10" t="s">
        <v>55</v>
      </c>
      <c r="D72" s="50">
        <v>0.2</v>
      </c>
      <c r="E72" s="50"/>
      <c r="F72" s="17"/>
      <c r="G72" s="44">
        <v>16</v>
      </c>
      <c r="H72" s="7"/>
      <c r="I72" s="7">
        <f>G72*D72*F71</f>
        <v>7756.7936000000009</v>
      </c>
      <c r="J72" s="13"/>
    </row>
    <row r="73" spans="1:15" s="11" customFormat="1" ht="15.6" x14ac:dyDescent="0.25">
      <c r="A73" s="36"/>
      <c r="B73" s="20" t="s">
        <v>49</v>
      </c>
      <c r="C73" s="10" t="s">
        <v>62</v>
      </c>
      <c r="D73" s="50">
        <v>1.5</v>
      </c>
      <c r="E73" s="50"/>
      <c r="F73" s="17"/>
      <c r="G73" s="46">
        <f>980/25</f>
        <v>39.200000000000003</v>
      </c>
      <c r="H73" s="7"/>
      <c r="I73" s="7">
        <f>G73*D73*F71</f>
        <v>142531.08240000001</v>
      </c>
      <c r="J73" s="13"/>
    </row>
    <row r="74" spans="1:15" s="11" customFormat="1" ht="15.6" x14ac:dyDescent="0.25">
      <c r="A74" s="36"/>
      <c r="B74" s="20" t="s">
        <v>49</v>
      </c>
      <c r="C74" s="10" t="s">
        <v>57</v>
      </c>
      <c r="D74" s="50">
        <v>0.5</v>
      </c>
      <c r="E74" s="50"/>
      <c r="F74" s="17"/>
      <c r="G74" s="43">
        <f>3000/13</f>
        <v>230.76923076923077</v>
      </c>
      <c r="H74" s="7"/>
      <c r="I74" s="9">
        <f>G74*D74*F71</f>
        <v>279692.07692307694</v>
      </c>
      <c r="J74" s="13"/>
    </row>
    <row r="75" spans="1:15" ht="15.75" customHeight="1" x14ac:dyDescent="0.25">
      <c r="A75" s="224" t="s">
        <v>87</v>
      </c>
      <c r="B75" s="225"/>
      <c r="C75" s="225"/>
      <c r="D75" s="225"/>
      <c r="E75" s="225"/>
      <c r="F75" s="225"/>
      <c r="G75" s="225"/>
      <c r="H75" s="225"/>
      <c r="I75" s="225"/>
      <c r="J75" s="226"/>
      <c r="K75" s="68">
        <f>4.7+14.9*7+18.27+12.8+15*6+29.6</f>
        <v>259.67</v>
      </c>
      <c r="L75" s="68" t="s">
        <v>84</v>
      </c>
      <c r="M75" s="68" t="s">
        <v>85</v>
      </c>
      <c r="N75" s="68"/>
      <c r="O75" s="68"/>
    </row>
    <row r="76" spans="1:15" ht="42.75" customHeight="1" x14ac:dyDescent="0.25">
      <c r="A76" s="35">
        <v>15</v>
      </c>
      <c r="B76" s="33" t="s">
        <v>8</v>
      </c>
      <c r="C76" s="22" t="s">
        <v>98</v>
      </c>
      <c r="D76" s="48"/>
      <c r="E76" s="48" t="s">
        <v>9</v>
      </c>
      <c r="F76" s="24">
        <f>10.5+8.1+3.4+(8.1+12.1)*7+32-4.1+(2.7+2.7+3.8)*7+5.5*2.46-0.32+(3.074*8+4.3+3.05*6+3.23)*1.35+0.3*4*7*4.64+8*0.3*4*4.64+(4.08*7+4.485+2*7)*1.15</f>
        <v>474.60144999999994</v>
      </c>
      <c r="G76" s="42">
        <v>180</v>
      </c>
      <c r="H76" s="24">
        <f>F76*G76</f>
        <v>85428.260999999984</v>
      </c>
      <c r="I76" s="24"/>
      <c r="J76" s="25">
        <f>H76+I77+I78</f>
        <v>125010.02192999999</v>
      </c>
      <c r="K76" s="68">
        <f>10.5+8.1+3.4+(8.1+12.1)*7+32</f>
        <v>195.4</v>
      </c>
      <c r="L76" s="68" t="s">
        <v>86</v>
      </c>
      <c r="M76" s="68"/>
      <c r="N76" s="68"/>
      <c r="O76" s="68"/>
    </row>
    <row r="77" spans="1:15" s="11" customFormat="1" ht="15.6" x14ac:dyDescent="0.25">
      <c r="A77" s="36"/>
      <c r="B77" s="20" t="s">
        <v>49</v>
      </c>
      <c r="C77" s="10" t="s">
        <v>52</v>
      </c>
      <c r="D77" s="49">
        <v>0.2</v>
      </c>
      <c r="E77" s="49"/>
      <c r="F77" s="16"/>
      <c r="G77" s="43">
        <v>37</v>
      </c>
      <c r="H77" s="7"/>
      <c r="I77" s="9">
        <f>G77*D77*F76</f>
        <v>3512.0507299999999</v>
      </c>
      <c r="J77" s="12"/>
      <c r="K77" s="69"/>
      <c r="L77" s="69"/>
      <c r="M77" s="69"/>
      <c r="N77" s="69"/>
      <c r="O77" s="69"/>
    </row>
    <row r="78" spans="1:15" s="11" customFormat="1" ht="15.6" x14ac:dyDescent="0.25">
      <c r="A78" s="36"/>
      <c r="B78" s="20" t="s">
        <v>49</v>
      </c>
      <c r="C78" s="10" t="s">
        <v>63</v>
      </c>
      <c r="D78" s="49">
        <v>12</v>
      </c>
      <c r="E78" s="49"/>
      <c r="F78" s="16"/>
      <c r="G78" s="43">
        <f>190/30</f>
        <v>6.333333333333333</v>
      </c>
      <c r="I78" s="7">
        <f>G78*D78*F76</f>
        <v>36069.710199999994</v>
      </c>
      <c r="J78" s="12"/>
      <c r="K78" s="69"/>
      <c r="L78" s="69"/>
      <c r="M78" s="69"/>
      <c r="N78" s="69"/>
      <c r="O78" s="69"/>
    </row>
    <row r="79" spans="1:15" ht="21" customHeight="1" x14ac:dyDescent="0.25">
      <c r="A79" s="35">
        <v>16</v>
      </c>
      <c r="B79" s="33" t="s">
        <v>8</v>
      </c>
      <c r="C79" s="22" t="s">
        <v>39</v>
      </c>
      <c r="D79" s="48"/>
      <c r="E79" s="48" t="s">
        <v>9</v>
      </c>
      <c r="F79" s="23">
        <f>F76</f>
        <v>474.60144999999994</v>
      </c>
      <c r="G79" s="42">
        <v>115</v>
      </c>
      <c r="H79" s="24">
        <f>F79*G79</f>
        <v>54579.166749999997</v>
      </c>
      <c r="I79" s="24"/>
      <c r="J79" s="25">
        <f>H79+I80+I81</f>
        <v>58850.5798</v>
      </c>
      <c r="K79" s="68"/>
      <c r="L79" s="68"/>
      <c r="M79" s="68"/>
      <c r="N79" s="68"/>
      <c r="O79" s="68"/>
    </row>
    <row r="80" spans="1:15" s="11" customFormat="1" ht="15.6" x14ac:dyDescent="0.25">
      <c r="A80" s="36"/>
      <c r="B80" s="20" t="s">
        <v>49</v>
      </c>
      <c r="C80" s="10" t="s">
        <v>58</v>
      </c>
      <c r="D80" s="49">
        <v>0.2</v>
      </c>
      <c r="E80" s="49"/>
      <c r="F80" s="16"/>
      <c r="G80" s="44">
        <v>16</v>
      </c>
      <c r="H80" s="12"/>
      <c r="I80" s="7">
        <f>G80*D80*F79</f>
        <v>1518.7246399999999</v>
      </c>
      <c r="J80" s="12"/>
      <c r="K80" s="69"/>
      <c r="L80" s="69"/>
      <c r="M80" s="69"/>
      <c r="N80" s="69"/>
      <c r="O80" s="69"/>
    </row>
    <row r="81" spans="1:15" s="11" customFormat="1" ht="15.6" x14ac:dyDescent="0.25">
      <c r="A81" s="36"/>
      <c r="B81" s="20" t="s">
        <v>49</v>
      </c>
      <c r="C81" s="10" t="s">
        <v>61</v>
      </c>
      <c r="D81" s="49">
        <v>0.6</v>
      </c>
      <c r="E81" s="49"/>
      <c r="F81" s="16"/>
      <c r="G81" s="43">
        <f>290/30</f>
        <v>9.6666666666666661</v>
      </c>
      <c r="H81" s="12"/>
      <c r="I81" s="7">
        <f>G81*D81*F79</f>
        <v>2752.6884099999997</v>
      </c>
      <c r="J81" s="12"/>
      <c r="K81" s="69"/>
      <c r="L81" s="69"/>
      <c r="M81" s="69"/>
      <c r="N81" s="69"/>
      <c r="O81" s="69"/>
    </row>
    <row r="82" spans="1:15" x14ac:dyDescent="0.25">
      <c r="A82" s="35">
        <v>17</v>
      </c>
      <c r="B82" s="33" t="s">
        <v>8</v>
      </c>
      <c r="C82" s="22" t="s">
        <v>40</v>
      </c>
      <c r="D82" s="48"/>
      <c r="E82" s="48" t="s">
        <v>9</v>
      </c>
      <c r="F82" s="24">
        <f>F76</f>
        <v>474.60144999999994</v>
      </c>
      <c r="G82" s="42">
        <v>115</v>
      </c>
      <c r="H82" s="24">
        <f>F82*G82</f>
        <v>54579.166749999997</v>
      </c>
      <c r="I82" s="24"/>
      <c r="J82" s="25">
        <f>H82+I83+I84+I85</f>
        <v>138766.16241923076</v>
      </c>
      <c r="K82" s="68"/>
      <c r="L82" s="68"/>
      <c r="M82" s="68"/>
      <c r="N82" s="68"/>
      <c r="O82" s="68"/>
    </row>
    <row r="83" spans="1:15" s="11" customFormat="1" ht="15.6" x14ac:dyDescent="0.25">
      <c r="A83" s="36"/>
      <c r="B83" s="20" t="s">
        <v>49</v>
      </c>
      <c r="C83" s="10" t="s">
        <v>55</v>
      </c>
      <c r="D83" s="50">
        <v>0.2</v>
      </c>
      <c r="E83" s="50"/>
      <c r="F83" s="17"/>
      <c r="G83" s="44">
        <v>16</v>
      </c>
      <c r="H83" s="7"/>
      <c r="I83" s="7">
        <f>G83*D83*F82</f>
        <v>1518.7246399999999</v>
      </c>
      <c r="J83" s="13"/>
      <c r="K83" s="69"/>
      <c r="L83" s="69"/>
      <c r="M83" s="69"/>
      <c r="N83" s="69"/>
      <c r="O83" s="69"/>
    </row>
    <row r="84" spans="1:15" s="11" customFormat="1" ht="15.6" x14ac:dyDescent="0.25">
      <c r="A84" s="36"/>
      <c r="B84" s="20" t="s">
        <v>49</v>
      </c>
      <c r="C84" s="10" t="s">
        <v>62</v>
      </c>
      <c r="D84" s="50">
        <v>1.5</v>
      </c>
      <c r="E84" s="50"/>
      <c r="F84" s="17"/>
      <c r="G84" s="46">
        <f>980/25</f>
        <v>39.200000000000003</v>
      </c>
      <c r="H84" s="7"/>
      <c r="I84" s="7">
        <f>G84*D84*F82</f>
        <v>27906.565259999999</v>
      </c>
      <c r="J84" s="13"/>
      <c r="K84" s="69"/>
      <c r="L84" s="69"/>
      <c r="M84" s="69"/>
      <c r="N84" s="69"/>
      <c r="O84" s="69"/>
    </row>
    <row r="85" spans="1:15" s="11" customFormat="1" ht="15.6" x14ac:dyDescent="0.25">
      <c r="A85" s="36"/>
      <c r="B85" s="20" t="s">
        <v>49</v>
      </c>
      <c r="C85" s="10" t="s">
        <v>57</v>
      </c>
      <c r="D85" s="50">
        <v>0.5</v>
      </c>
      <c r="E85" s="50"/>
      <c r="F85" s="17"/>
      <c r="G85" s="43">
        <f>3000/13</f>
        <v>230.76923076923077</v>
      </c>
      <c r="H85" s="7"/>
      <c r="I85" s="9">
        <f>G85*D85*F82</f>
        <v>54761.705769230764</v>
      </c>
      <c r="J85" s="13"/>
      <c r="K85" s="69"/>
      <c r="L85" s="69"/>
      <c r="M85" s="69"/>
      <c r="N85" s="69"/>
      <c r="O85" s="69"/>
    </row>
    <row r="86" spans="1:15" ht="26.25" customHeight="1" x14ac:dyDescent="0.25">
      <c r="A86" s="224" t="s">
        <v>83</v>
      </c>
      <c r="B86" s="225"/>
      <c r="C86" s="225"/>
      <c r="D86" s="225"/>
      <c r="E86" s="225"/>
      <c r="F86" s="225"/>
      <c r="G86" s="225"/>
      <c r="H86" s="225"/>
      <c r="I86" s="225"/>
      <c r="J86" s="226"/>
      <c r="K86" s="68"/>
      <c r="L86" s="68" t="s">
        <v>84</v>
      </c>
      <c r="M86" s="68" t="s">
        <v>85</v>
      </c>
      <c r="N86" s="68"/>
      <c r="O86" s="68"/>
    </row>
    <row r="87" spans="1:15" ht="45" customHeight="1" x14ac:dyDescent="0.25">
      <c r="A87" s="35">
        <v>18</v>
      </c>
      <c r="B87" s="33" t="s">
        <v>8</v>
      </c>
      <c r="C87" s="22" t="s">
        <v>99</v>
      </c>
      <c r="D87" s="48"/>
      <c r="E87" s="48" t="s">
        <v>9</v>
      </c>
      <c r="F87" s="24">
        <f>430+760-12.9+0.9*2*2.77*6+0.9*2*3.645</f>
        <v>1213.5769999999998</v>
      </c>
      <c r="G87" s="42">
        <v>180</v>
      </c>
      <c r="H87" s="24">
        <f>F87*G87</f>
        <v>218443.85999999996</v>
      </c>
      <c r="I87" s="24"/>
      <c r="J87" s="25">
        <f>H87+I88+I89</f>
        <v>342714.14479999989</v>
      </c>
      <c r="K87" s="68"/>
      <c r="L87" s="68">
        <f>4.64*1</f>
        <v>4.6399999999999997</v>
      </c>
      <c r="M87" s="68">
        <f>(2.7+2.7+3.8)*7+5.5*2.46-0.32</f>
        <v>77.61</v>
      </c>
      <c r="N87" s="68"/>
      <c r="O87" s="68"/>
    </row>
    <row r="88" spans="1:15" s="11" customFormat="1" ht="15.6" x14ac:dyDescent="0.25">
      <c r="A88" s="36"/>
      <c r="B88" s="20" t="s">
        <v>49</v>
      </c>
      <c r="C88" s="10" t="s">
        <v>52</v>
      </c>
      <c r="D88" s="49">
        <v>0.2</v>
      </c>
      <c r="E88" s="49"/>
      <c r="F88" s="16"/>
      <c r="G88" s="43">
        <v>37</v>
      </c>
      <c r="H88" s="7"/>
      <c r="I88" s="9">
        <f>G88*D88*F87</f>
        <v>8980.4697999999989</v>
      </c>
      <c r="J88" s="12"/>
      <c r="K88" s="69">
        <f>18.7+17.5+17.8*6+12.7+17.4*6+29.4</f>
        <v>289.49999999999994</v>
      </c>
      <c r="L88" s="69"/>
      <c r="M88" s="69">
        <f>8+18*7+26.2</f>
        <v>160.19999999999999</v>
      </c>
      <c r="N88" s="69"/>
      <c r="O88" s="69"/>
    </row>
    <row r="89" spans="1:15" s="11" customFormat="1" ht="15.6" x14ac:dyDescent="0.25">
      <c r="A89" s="36"/>
      <c r="B89" s="20" t="s">
        <v>49</v>
      </c>
      <c r="C89" s="10" t="s">
        <v>53</v>
      </c>
      <c r="D89" s="49">
        <v>15</v>
      </c>
      <c r="E89" s="49"/>
      <c r="F89" s="16"/>
      <c r="G89" s="43">
        <f>190/30</f>
        <v>6.333333333333333</v>
      </c>
      <c r="I89" s="9">
        <f>G89*D89*F87</f>
        <v>115289.81499999997</v>
      </c>
      <c r="J89" s="12"/>
      <c r="K89" s="11">
        <f>2.46*(25.319+25.723-15*0.16)</f>
        <v>119.65932000000001</v>
      </c>
      <c r="M89" s="11">
        <f>13.3+19.4+18.7*6+18.1</f>
        <v>162.99999999999997</v>
      </c>
    </row>
    <row r="90" spans="1:15" s="11" customFormat="1" ht="72" x14ac:dyDescent="0.3">
      <c r="A90" s="70">
        <v>18</v>
      </c>
      <c r="B90" s="71" t="s">
        <v>8</v>
      </c>
      <c r="C90" s="72" t="s">
        <v>103</v>
      </c>
      <c r="D90" s="73"/>
      <c r="E90" s="73" t="s">
        <v>9</v>
      </c>
      <c r="F90" s="74">
        <v>12.9</v>
      </c>
      <c r="G90" s="75">
        <v>180</v>
      </c>
      <c r="H90" s="74">
        <f>F90*G90</f>
        <v>2322</v>
      </c>
      <c r="I90" s="74"/>
      <c r="J90" s="76">
        <f>H90+I91+I95</f>
        <v>2322</v>
      </c>
    </row>
    <row r="91" spans="1:15" s="11" customFormat="1" ht="28.8" x14ac:dyDescent="0.3">
      <c r="A91" s="70"/>
      <c r="B91" s="77" t="s">
        <v>48</v>
      </c>
      <c r="C91" s="72" t="s">
        <v>88</v>
      </c>
      <c r="D91" s="73">
        <v>1.03</v>
      </c>
      <c r="E91" s="73" t="s">
        <v>89</v>
      </c>
      <c r="F91" s="78">
        <f>F90*0.08*1.03</f>
        <v>1.0629600000000001</v>
      </c>
      <c r="G91" s="79"/>
      <c r="H91" s="80"/>
      <c r="I91" s="76"/>
      <c r="J91" s="78"/>
    </row>
    <row r="92" spans="1:15" s="11" customFormat="1" ht="14.4" x14ac:dyDescent="0.3">
      <c r="A92" s="70"/>
      <c r="B92" s="77"/>
      <c r="C92" s="72" t="s">
        <v>104</v>
      </c>
      <c r="D92" s="73">
        <v>1.02</v>
      </c>
      <c r="E92" s="73" t="s">
        <v>9</v>
      </c>
      <c r="F92" s="78"/>
      <c r="G92" s="43">
        <v>37</v>
      </c>
      <c r="H92" s="80"/>
      <c r="I92" s="9">
        <f>G92*D92*F90</f>
        <v>486.84600000000006</v>
      </c>
      <c r="J92" s="78"/>
    </row>
    <row r="93" spans="1:15" s="11" customFormat="1" ht="14.4" x14ac:dyDescent="0.3">
      <c r="A93" s="70"/>
      <c r="B93" s="77"/>
      <c r="C93" s="72" t="s">
        <v>60</v>
      </c>
      <c r="D93" s="73">
        <v>20</v>
      </c>
      <c r="E93" s="73" t="s">
        <v>105</v>
      </c>
      <c r="F93" s="78"/>
      <c r="G93" s="43">
        <v>37</v>
      </c>
      <c r="H93" s="80"/>
      <c r="I93" s="9">
        <f>G93*D93*F90</f>
        <v>9546</v>
      </c>
      <c r="J93" s="78"/>
    </row>
    <row r="94" spans="1:15" s="11" customFormat="1" ht="14.4" x14ac:dyDescent="0.3">
      <c r="A94" s="70"/>
      <c r="B94" s="77"/>
      <c r="C94" s="72"/>
      <c r="D94" s="73"/>
      <c r="E94" s="73"/>
      <c r="F94" s="78"/>
      <c r="G94" s="79"/>
      <c r="H94" s="80"/>
      <c r="I94" s="76"/>
      <c r="J94" s="78"/>
    </row>
    <row r="95" spans="1:15" ht="24" x14ac:dyDescent="0.25">
      <c r="A95" s="35">
        <v>19</v>
      </c>
      <c r="B95" s="33" t="s">
        <v>8</v>
      </c>
      <c r="C95" s="22" t="s">
        <v>102</v>
      </c>
      <c r="D95" s="48"/>
      <c r="E95" s="48" t="s">
        <v>9</v>
      </c>
      <c r="F95" s="24">
        <f>4.64*2.51</f>
        <v>11.646399999999998</v>
      </c>
      <c r="G95" s="42">
        <v>115</v>
      </c>
      <c r="H95" s="24">
        <f>F95*G95</f>
        <v>1339.3359999999998</v>
      </c>
      <c r="I95" s="24"/>
      <c r="J95" s="25">
        <f>H95+I96+I97</f>
        <v>2531.9273599999997</v>
      </c>
      <c r="K95" s="1">
        <f>K89+K88</f>
        <v>409.15931999999998</v>
      </c>
      <c r="M95" s="1">
        <f>M89+M88</f>
        <v>323.19999999999993</v>
      </c>
    </row>
    <row r="96" spans="1:15" s="11" customFormat="1" ht="15.6" x14ac:dyDescent="0.25">
      <c r="A96" s="36"/>
      <c r="B96" s="20" t="s">
        <v>49</v>
      </c>
      <c r="C96" s="10" t="s">
        <v>64</v>
      </c>
      <c r="D96" s="49">
        <v>0.2</v>
      </c>
      <c r="E96" s="49"/>
      <c r="F96" s="16"/>
      <c r="G96" s="43">
        <v>37</v>
      </c>
      <c r="H96" s="7"/>
      <c r="I96" s="9">
        <f>G96*D96*F95</f>
        <v>86.183359999999993</v>
      </c>
      <c r="J96" s="12"/>
      <c r="K96" s="11">
        <f>1.05*2*(25.3+26.17)-2.4*8-2.6*7-6.4*8</f>
        <v>19.486999999999995</v>
      </c>
      <c r="M96" s="11">
        <f>9.8*7*2.81+9.8*3.3+4.52*4.9+4.52*2.81*7+1.95*2.81*7+1.95*3.7+1.95*2.81*7+1.95*2.15+4.64*2.71</f>
        <v>436.85729999999995</v>
      </c>
    </row>
    <row r="97" spans="1:15" s="11" customFormat="1" ht="15.6" x14ac:dyDescent="0.25">
      <c r="A97" s="36"/>
      <c r="B97" s="20" t="s">
        <v>49</v>
      </c>
      <c r="C97" s="10" t="s">
        <v>53</v>
      </c>
      <c r="D97" s="49">
        <v>15</v>
      </c>
      <c r="E97" s="49"/>
      <c r="F97" s="16"/>
      <c r="G97" s="43">
        <f>190/30</f>
        <v>6.333333333333333</v>
      </c>
      <c r="I97" s="9">
        <f>G97*D97*F95</f>
        <v>1106.4079999999999</v>
      </c>
      <c r="J97" s="12"/>
      <c r="K97" s="11">
        <f>K96+K95</f>
        <v>428.64631999999995</v>
      </c>
      <c r="M97" s="11">
        <f>M96+M95</f>
        <v>760.05729999999994</v>
      </c>
    </row>
    <row r="98" spans="1:15" ht="24" x14ac:dyDescent="0.25">
      <c r="A98" s="35">
        <v>20</v>
      </c>
      <c r="B98" s="33" t="s">
        <v>8</v>
      </c>
      <c r="C98" s="22" t="s">
        <v>106</v>
      </c>
      <c r="D98" s="48"/>
      <c r="E98" s="48" t="s">
        <v>9</v>
      </c>
      <c r="F98" s="24">
        <f>2.62*2.81</f>
        <v>7.3622000000000005</v>
      </c>
      <c r="G98" s="42">
        <v>180</v>
      </c>
      <c r="H98" s="24">
        <f>F98*G98</f>
        <v>1325.1960000000001</v>
      </c>
      <c r="I98" s="26"/>
      <c r="J98" s="25">
        <f>H98+I99+I100</f>
        <v>1939.2034800000001</v>
      </c>
    </row>
    <row r="99" spans="1:15" s="11" customFormat="1" ht="15.6" x14ac:dyDescent="0.25">
      <c r="A99" s="36"/>
      <c r="B99" s="20" t="s">
        <v>49</v>
      </c>
      <c r="C99" s="10" t="s">
        <v>59</v>
      </c>
      <c r="D99" s="49">
        <v>0.2</v>
      </c>
      <c r="E99" s="49"/>
      <c r="F99" s="16"/>
      <c r="G99" s="43">
        <v>37</v>
      </c>
      <c r="H99" s="7"/>
      <c r="I99" s="9">
        <f>G99*D99*F98</f>
        <v>54.480280000000008</v>
      </c>
      <c r="J99" s="12"/>
    </row>
    <row r="100" spans="1:15" s="11" customFormat="1" ht="15.6" x14ac:dyDescent="0.25">
      <c r="A100" s="36"/>
      <c r="B100" s="20" t="s">
        <v>49</v>
      </c>
      <c r="C100" s="10" t="s">
        <v>63</v>
      </c>
      <c r="D100" s="49">
        <v>12</v>
      </c>
      <c r="E100" s="49"/>
      <c r="F100" s="16"/>
      <c r="G100" s="43">
        <f>190/30</f>
        <v>6.333333333333333</v>
      </c>
      <c r="I100" s="9">
        <f>G100*D100*F98</f>
        <v>559.52719999999999</v>
      </c>
      <c r="J100" s="12"/>
    </row>
    <row r="101" spans="1:15" ht="21" customHeight="1" x14ac:dyDescent="0.25">
      <c r="A101" s="35">
        <v>21</v>
      </c>
      <c r="B101" s="33" t="s">
        <v>8</v>
      </c>
      <c r="C101" s="22" t="s">
        <v>39</v>
      </c>
      <c r="D101" s="48"/>
      <c r="E101" s="48" t="s">
        <v>9</v>
      </c>
      <c r="F101" s="24">
        <f>F98+F95+F87+F90</f>
        <v>1245.4855999999997</v>
      </c>
      <c r="G101" s="42">
        <v>115</v>
      </c>
      <c r="H101" s="24">
        <f>F101*G101</f>
        <v>143230.84399999998</v>
      </c>
      <c r="I101" s="26"/>
      <c r="J101" s="25">
        <f>H101+I102+I103</f>
        <v>154440.2144</v>
      </c>
    </row>
    <row r="102" spans="1:15" s="11" customFormat="1" ht="15.6" x14ac:dyDescent="0.25">
      <c r="A102" s="36"/>
      <c r="B102" s="20" t="s">
        <v>49</v>
      </c>
      <c r="C102" s="10" t="s">
        <v>58</v>
      </c>
      <c r="D102" s="49">
        <v>0.2</v>
      </c>
      <c r="E102" s="49"/>
      <c r="F102" s="16"/>
      <c r="G102" s="44">
        <v>16</v>
      </c>
      <c r="H102" s="12"/>
      <c r="I102" s="7">
        <f>G102*D102*F101</f>
        <v>3985.5539199999994</v>
      </c>
      <c r="J102" s="12"/>
      <c r="N102" s="11">
        <f>(2.29*2+3.041+2.08+1.98+2.94)*15-(0.64*2)*6+1.48*8</f>
        <v>223.47499999999999</v>
      </c>
    </row>
    <row r="103" spans="1:15" s="11" customFormat="1" ht="15.6" x14ac:dyDescent="0.25">
      <c r="A103" s="36"/>
      <c r="B103" s="20" t="s">
        <v>49</v>
      </c>
      <c r="C103" s="10" t="s">
        <v>61</v>
      </c>
      <c r="D103" s="49">
        <v>0.6</v>
      </c>
      <c r="E103" s="49"/>
      <c r="F103" s="16"/>
      <c r="G103" s="43">
        <f>290/30</f>
        <v>9.6666666666666661</v>
      </c>
      <c r="H103" s="12"/>
      <c r="I103" s="7">
        <f>G103*D103*F101</f>
        <v>7223.8164799999986</v>
      </c>
      <c r="J103" s="12"/>
      <c r="N103" s="11">
        <f>2.81*N102*8</f>
        <v>5023.7179999999998</v>
      </c>
      <c r="O103" s="11" t="s">
        <v>90</v>
      </c>
    </row>
    <row r="104" spans="1:15" x14ac:dyDescent="0.25">
      <c r="A104" s="35">
        <v>22</v>
      </c>
      <c r="B104" s="33" t="s">
        <v>8</v>
      </c>
      <c r="C104" s="22" t="s">
        <v>40</v>
      </c>
      <c r="D104" s="48"/>
      <c r="E104" s="48" t="s">
        <v>9</v>
      </c>
      <c r="F104" s="23">
        <f>F101</f>
        <v>1245.4855999999997</v>
      </c>
      <c r="G104" s="42">
        <v>115</v>
      </c>
      <c r="H104" s="24">
        <f>F104*G104</f>
        <v>143230.84399999998</v>
      </c>
      <c r="I104" s="26"/>
      <c r="J104" s="25">
        <f>H104+I105+I106+I107</f>
        <v>364160.82812307688</v>
      </c>
      <c r="O104" s="81">
        <v>44410</v>
      </c>
    </row>
    <row r="105" spans="1:15" s="11" customFormat="1" ht="15.6" x14ac:dyDescent="0.25">
      <c r="A105" s="36"/>
      <c r="B105" s="20" t="s">
        <v>49</v>
      </c>
      <c r="C105" s="10" t="s">
        <v>55</v>
      </c>
      <c r="D105" s="50">
        <v>0.2</v>
      </c>
      <c r="E105" s="50"/>
      <c r="F105" s="17"/>
      <c r="G105" s="44">
        <v>16</v>
      </c>
      <c r="H105" s="7"/>
      <c r="I105" s="9">
        <f>G105*D105*F104</f>
        <v>3985.5539199999994</v>
      </c>
      <c r="J105" s="13"/>
    </row>
    <row r="106" spans="1:15" s="11" customFormat="1" ht="15.6" x14ac:dyDescent="0.25">
      <c r="A106" s="36"/>
      <c r="B106" s="20" t="s">
        <v>49</v>
      </c>
      <c r="C106" s="10" t="s">
        <v>56</v>
      </c>
      <c r="D106" s="50">
        <v>1.5</v>
      </c>
      <c r="E106" s="50"/>
      <c r="F106" s="17"/>
      <c r="G106" s="46">
        <f>980/25</f>
        <v>39.200000000000003</v>
      </c>
      <c r="H106" s="7"/>
      <c r="I106" s="9">
        <f>G106*D106*F104</f>
        <v>73234.553279999993</v>
      </c>
      <c r="J106" s="13"/>
    </row>
    <row r="107" spans="1:15" s="11" customFormat="1" ht="24" x14ac:dyDescent="0.25">
      <c r="A107" s="36"/>
      <c r="B107" s="20" t="s">
        <v>49</v>
      </c>
      <c r="C107" s="10" t="s">
        <v>65</v>
      </c>
      <c r="D107" s="50">
        <v>0.5</v>
      </c>
      <c r="E107" s="50"/>
      <c r="F107" s="17"/>
      <c r="G107" s="43">
        <f>3000/13</f>
        <v>230.76923076923077</v>
      </c>
      <c r="H107" s="7"/>
      <c r="I107" s="9">
        <f>G107*D107*F104</f>
        <v>143709.8769230769</v>
      </c>
      <c r="J107" s="13"/>
      <c r="L107" s="11">
        <f>4.43*18*2.81</f>
        <v>224.0694</v>
      </c>
    </row>
    <row r="108" spans="1:15" ht="15.75" customHeight="1" x14ac:dyDescent="0.25">
      <c r="A108" s="224" t="s">
        <v>16</v>
      </c>
      <c r="B108" s="225"/>
      <c r="C108" s="225"/>
      <c r="D108" s="225"/>
      <c r="E108" s="225"/>
      <c r="F108" s="225"/>
      <c r="G108" s="225"/>
      <c r="H108" s="225"/>
      <c r="I108" s="225"/>
      <c r="J108" s="226"/>
    </row>
    <row r="109" spans="1:15" ht="15.75" customHeight="1" x14ac:dyDescent="0.25">
      <c r="A109" s="224" t="s">
        <v>17</v>
      </c>
      <c r="B109" s="225"/>
      <c r="C109" s="225"/>
      <c r="D109" s="225"/>
      <c r="E109" s="225"/>
      <c r="F109" s="225"/>
      <c r="G109" s="225"/>
      <c r="H109" s="225"/>
      <c r="I109" s="225"/>
      <c r="J109" s="226"/>
    </row>
    <row r="110" spans="1:15" ht="15.75" customHeight="1" x14ac:dyDescent="0.25">
      <c r="A110" s="224" t="s">
        <v>10</v>
      </c>
      <c r="B110" s="225"/>
      <c r="C110" s="225"/>
      <c r="D110" s="225"/>
      <c r="E110" s="225"/>
      <c r="F110" s="225"/>
      <c r="G110" s="225"/>
      <c r="H110" s="225"/>
      <c r="I110" s="225"/>
      <c r="J110" s="226"/>
    </row>
    <row r="111" spans="1:15" ht="43.5" customHeight="1" x14ac:dyDescent="0.25">
      <c r="A111" s="35">
        <v>26</v>
      </c>
      <c r="B111" s="33" t="s">
        <v>8</v>
      </c>
      <c r="C111" s="31" t="s">
        <v>107</v>
      </c>
      <c r="D111" s="48"/>
      <c r="E111" s="48" t="s">
        <v>9</v>
      </c>
      <c r="F111" s="24">
        <f>110*2.81+87.6*2.81*7</f>
        <v>2032.192</v>
      </c>
      <c r="G111" s="42">
        <v>180</v>
      </c>
      <c r="H111" s="24">
        <f>F111*G111</f>
        <v>365794.56</v>
      </c>
      <c r="I111" s="24"/>
      <c r="J111" s="25">
        <f>H111+I112+I113</f>
        <v>573891.02080000006</v>
      </c>
    </row>
    <row r="112" spans="1:15" s="11" customFormat="1" ht="15.6" x14ac:dyDescent="0.25">
      <c r="A112" s="36"/>
      <c r="B112" s="20" t="s">
        <v>49</v>
      </c>
      <c r="C112" s="10" t="s">
        <v>59</v>
      </c>
      <c r="D112" s="49">
        <v>0.2</v>
      </c>
      <c r="E112" s="49"/>
      <c r="F112" s="16"/>
      <c r="G112" s="43">
        <v>37</v>
      </c>
      <c r="H112" s="7"/>
      <c r="I112" s="9">
        <f>G112*D112*F111</f>
        <v>15038.220800000001</v>
      </c>
      <c r="J112" s="12"/>
    </row>
    <row r="113" spans="1:10" s="11" customFormat="1" ht="15.6" x14ac:dyDescent="0.25">
      <c r="A113" s="36"/>
      <c r="B113" s="20" t="s">
        <v>49</v>
      </c>
      <c r="C113" s="10" t="s">
        <v>53</v>
      </c>
      <c r="D113" s="49">
        <v>15</v>
      </c>
      <c r="E113" s="49"/>
      <c r="F113" s="16"/>
      <c r="G113" s="43">
        <f>190/30</f>
        <v>6.333333333333333</v>
      </c>
      <c r="I113" s="9">
        <f>G113*D113*F111</f>
        <v>193058.24</v>
      </c>
      <c r="J113" s="12"/>
    </row>
    <row r="114" spans="1:10" ht="41.25" customHeight="1" x14ac:dyDescent="0.25">
      <c r="A114" s="35">
        <v>27</v>
      </c>
      <c r="B114" s="33" t="s">
        <v>8</v>
      </c>
      <c r="C114" s="31" t="s">
        <v>108</v>
      </c>
      <c r="D114" s="48"/>
      <c r="E114" s="48" t="s">
        <v>9</v>
      </c>
      <c r="F114" s="24">
        <f>2.81*N102*8</f>
        <v>5023.7179999999998</v>
      </c>
      <c r="G114" s="42">
        <v>145</v>
      </c>
      <c r="H114" s="24">
        <f>F114*G114</f>
        <v>728439.11</v>
      </c>
      <c r="I114" s="24"/>
      <c r="J114" s="25">
        <f>H114+I115+I116</f>
        <v>773652.57200000004</v>
      </c>
    </row>
    <row r="115" spans="1:10" s="11" customFormat="1" ht="15.6" x14ac:dyDescent="0.25">
      <c r="A115" s="36"/>
      <c r="B115" s="20" t="s">
        <v>49</v>
      </c>
      <c r="C115" s="10" t="s">
        <v>58</v>
      </c>
      <c r="D115" s="49">
        <v>0.2</v>
      </c>
      <c r="E115" s="49"/>
      <c r="F115" s="16"/>
      <c r="G115" s="44">
        <v>16</v>
      </c>
      <c r="H115" s="12"/>
      <c r="I115" s="9">
        <f>G115*D115*F114</f>
        <v>16075.8976</v>
      </c>
      <c r="J115" s="12"/>
    </row>
    <row r="116" spans="1:10" s="11" customFormat="1" ht="15.6" x14ac:dyDescent="0.25">
      <c r="A116" s="36"/>
      <c r="B116" s="20" t="s">
        <v>49</v>
      </c>
      <c r="C116" s="10" t="s">
        <v>61</v>
      </c>
      <c r="D116" s="49">
        <v>0.6</v>
      </c>
      <c r="E116" s="49"/>
      <c r="F116" s="16"/>
      <c r="G116" s="43">
        <f>290/30</f>
        <v>9.6666666666666661</v>
      </c>
      <c r="H116" s="12"/>
      <c r="I116" s="9">
        <f>G116*D116*F114</f>
        <v>29137.564399999999</v>
      </c>
      <c r="J116" s="12"/>
    </row>
    <row r="117" spans="1:10" ht="15.75" customHeight="1" x14ac:dyDescent="0.25">
      <c r="A117" s="232" t="s">
        <v>18</v>
      </c>
      <c r="B117" s="233"/>
      <c r="C117" s="233"/>
      <c r="D117" s="233"/>
      <c r="E117" s="233"/>
      <c r="F117" s="233"/>
      <c r="G117" s="233"/>
      <c r="H117" s="233"/>
      <c r="I117" s="233"/>
      <c r="J117" s="234"/>
    </row>
    <row r="118" spans="1:10" ht="15.75" customHeight="1" x14ac:dyDescent="0.25">
      <c r="A118" s="224" t="s">
        <v>6</v>
      </c>
      <c r="B118" s="225"/>
      <c r="C118" s="225"/>
      <c r="D118" s="225"/>
      <c r="E118" s="225"/>
      <c r="F118" s="225"/>
      <c r="G118" s="225"/>
      <c r="H118" s="225"/>
      <c r="I118" s="225"/>
      <c r="J118" s="226"/>
    </row>
    <row r="119" spans="1:10" ht="53.25" customHeight="1" x14ac:dyDescent="0.25">
      <c r="A119" s="35">
        <v>28</v>
      </c>
      <c r="B119" s="33" t="s">
        <v>8</v>
      </c>
      <c r="C119" s="22" t="s">
        <v>109</v>
      </c>
      <c r="D119" s="48"/>
      <c r="E119" s="48" t="s">
        <v>9</v>
      </c>
      <c r="F119" s="24">
        <f>8.5+12.63</f>
        <v>21.130000000000003</v>
      </c>
      <c r="G119" s="42">
        <v>180</v>
      </c>
      <c r="H119" s="24">
        <f>F119*G119</f>
        <v>3803.4000000000005</v>
      </c>
      <c r="I119" s="24"/>
      <c r="J119" s="25">
        <f>H119+I120+I121</f>
        <v>5565.6420000000007</v>
      </c>
    </row>
    <row r="120" spans="1:10" s="11" customFormat="1" ht="15.6" x14ac:dyDescent="0.25">
      <c r="A120" s="36"/>
      <c r="B120" s="20" t="s">
        <v>49</v>
      </c>
      <c r="C120" s="10" t="s">
        <v>59</v>
      </c>
      <c r="D120" s="49">
        <v>0.2</v>
      </c>
      <c r="E120" s="49"/>
      <c r="F120" s="16"/>
      <c r="G120" s="43">
        <v>37</v>
      </c>
      <c r="H120" s="7"/>
      <c r="I120" s="9">
        <f>G120*D120*F119</f>
        <v>156.36200000000002</v>
      </c>
      <c r="J120" s="12"/>
    </row>
    <row r="121" spans="1:10" s="11" customFormat="1" ht="15.6" x14ac:dyDescent="0.25">
      <c r="A121" s="36"/>
      <c r="B121" s="20" t="s">
        <v>49</v>
      </c>
      <c r="C121" s="10" t="s">
        <v>63</v>
      </c>
      <c r="D121" s="49">
        <v>12</v>
      </c>
      <c r="E121" s="49"/>
      <c r="F121" s="16"/>
      <c r="G121" s="43">
        <f>190/30</f>
        <v>6.333333333333333</v>
      </c>
      <c r="I121" s="9">
        <f>G121*D121*F119</f>
        <v>1605.88</v>
      </c>
      <c r="J121" s="12"/>
    </row>
    <row r="122" spans="1:10" ht="21" customHeight="1" x14ac:dyDescent="0.25">
      <c r="A122" s="35">
        <v>29</v>
      </c>
      <c r="B122" s="33" t="s">
        <v>8</v>
      </c>
      <c r="C122" s="31" t="s">
        <v>39</v>
      </c>
      <c r="D122" s="48" t="s">
        <v>9</v>
      </c>
      <c r="E122" s="48" t="s">
        <v>9</v>
      </c>
      <c r="F122" s="23">
        <f>F119</f>
        <v>21.130000000000003</v>
      </c>
      <c r="G122" s="42">
        <v>115</v>
      </c>
      <c r="H122" s="24">
        <f>F122*G122</f>
        <v>2429.9500000000003</v>
      </c>
      <c r="I122" s="24"/>
      <c r="J122" s="25">
        <f>H122+I123+I124</f>
        <v>2620.1200000000003</v>
      </c>
    </row>
    <row r="123" spans="1:10" s="11" customFormat="1" ht="15.6" x14ac:dyDescent="0.25">
      <c r="A123" s="36"/>
      <c r="B123" s="20" t="s">
        <v>49</v>
      </c>
      <c r="C123" s="10" t="s">
        <v>66</v>
      </c>
      <c r="D123" s="49">
        <v>0.2</v>
      </c>
      <c r="E123" s="49"/>
      <c r="F123" s="16"/>
      <c r="G123" s="44">
        <v>16</v>
      </c>
      <c r="H123" s="12"/>
      <c r="I123" s="9">
        <f>G123*D123*F122</f>
        <v>67.616000000000014</v>
      </c>
      <c r="J123" s="12"/>
    </row>
    <row r="124" spans="1:10" s="11" customFormat="1" ht="15.6" x14ac:dyDescent="0.25">
      <c r="A124" s="36"/>
      <c r="B124" s="20" t="s">
        <v>49</v>
      </c>
      <c r="C124" s="10" t="s">
        <v>61</v>
      </c>
      <c r="D124" s="49">
        <v>0.6</v>
      </c>
      <c r="E124" s="49"/>
      <c r="F124" s="16"/>
      <c r="G124" s="43">
        <f>290/30</f>
        <v>9.6666666666666661</v>
      </c>
      <c r="H124" s="12"/>
      <c r="I124" s="9">
        <f>G124*D124*F122</f>
        <v>122.55400000000002</v>
      </c>
      <c r="J124" s="12"/>
    </row>
    <row r="125" spans="1:10" ht="14.4" x14ac:dyDescent="0.3">
      <c r="A125" s="70">
        <v>30</v>
      </c>
      <c r="B125" s="71" t="s">
        <v>8</v>
      </c>
      <c r="C125" s="72" t="s">
        <v>91</v>
      </c>
      <c r="D125" s="73"/>
      <c r="E125" s="73" t="s">
        <v>9</v>
      </c>
      <c r="F125" s="82">
        <f>F122</f>
        <v>21.130000000000003</v>
      </c>
      <c r="G125" s="75">
        <v>115</v>
      </c>
      <c r="H125" s="74">
        <f>F125*G125</f>
        <v>2429.9500000000003</v>
      </c>
      <c r="I125" s="83"/>
      <c r="J125" s="76" t="e">
        <f>H125+I126+#REF!+I127</f>
        <v>#REF!</v>
      </c>
    </row>
    <row r="126" spans="1:10" s="11" customFormat="1" ht="14.4" x14ac:dyDescent="0.3">
      <c r="A126" s="70"/>
      <c r="B126" s="77" t="s">
        <v>49</v>
      </c>
      <c r="C126" s="72" t="s">
        <v>55</v>
      </c>
      <c r="D126" s="84">
        <v>0.2</v>
      </c>
      <c r="E126" s="84"/>
      <c r="F126" s="85"/>
      <c r="G126" s="75">
        <v>16</v>
      </c>
      <c r="H126" s="74"/>
      <c r="I126" s="76">
        <f>G126*D126*F125</f>
        <v>67.616000000000014</v>
      </c>
      <c r="J126" s="85"/>
    </row>
    <row r="127" spans="1:10" s="11" customFormat="1" ht="28.8" x14ac:dyDescent="0.3">
      <c r="A127" s="70"/>
      <c r="B127" s="77" t="s">
        <v>49</v>
      </c>
      <c r="C127" s="72" t="s">
        <v>57</v>
      </c>
      <c r="D127" s="84">
        <v>0.5</v>
      </c>
      <c r="E127" s="84"/>
      <c r="F127" s="85"/>
      <c r="G127" s="79">
        <f>3000/13</f>
        <v>230.76923076923077</v>
      </c>
      <c r="H127" s="74"/>
      <c r="I127" s="76">
        <f>G127*D127*F125</f>
        <v>2438.0769230769233</v>
      </c>
      <c r="J127" s="85"/>
    </row>
    <row r="128" spans="1:10" s="11" customFormat="1" ht="14.4" x14ac:dyDescent="0.25">
      <c r="A128" s="224" t="s">
        <v>10</v>
      </c>
      <c r="B128" s="225"/>
      <c r="C128" s="225"/>
      <c r="D128" s="225"/>
      <c r="E128" s="225"/>
      <c r="F128" s="225"/>
      <c r="G128" s="225"/>
      <c r="H128" s="225"/>
      <c r="I128" s="225"/>
      <c r="J128" s="226"/>
    </row>
    <row r="129" spans="1:11" x14ac:dyDescent="0.25">
      <c r="A129" s="35"/>
      <c r="B129" s="33"/>
      <c r="C129" s="22"/>
      <c r="D129" s="48"/>
      <c r="E129" s="48"/>
      <c r="F129" s="23"/>
      <c r="G129" s="42"/>
      <c r="H129" s="24"/>
      <c r="I129" s="26"/>
      <c r="J129" s="25"/>
    </row>
    <row r="130" spans="1:11" s="11" customFormat="1" ht="46.5" customHeight="1" x14ac:dyDescent="0.3">
      <c r="A130" s="70"/>
      <c r="B130" s="77"/>
      <c r="C130" s="72" t="s">
        <v>110</v>
      </c>
      <c r="D130" s="84"/>
      <c r="E130" s="80" t="s">
        <v>9</v>
      </c>
      <c r="F130" s="84">
        <f>19*2.55</f>
        <v>48.449999999999996</v>
      </c>
      <c r="G130" s="75"/>
      <c r="H130" s="74"/>
      <c r="I130" s="74"/>
      <c r="J130" s="85"/>
    </row>
    <row r="131" spans="1:11" ht="60" customHeight="1" x14ac:dyDescent="0.3">
      <c r="A131" s="86" t="s">
        <v>11</v>
      </c>
      <c r="B131" s="89" t="s">
        <v>8</v>
      </c>
      <c r="C131" s="90" t="s">
        <v>99</v>
      </c>
      <c r="D131" s="91"/>
      <c r="E131" s="91" t="s">
        <v>9</v>
      </c>
      <c r="F131" s="88">
        <f>17.6*2.55</f>
        <v>44.88</v>
      </c>
      <c r="G131" s="87">
        <v>180</v>
      </c>
      <c r="H131" s="88">
        <f>F131*G131</f>
        <v>8078.4000000000005</v>
      </c>
      <c r="I131" s="88"/>
      <c r="J131" s="92">
        <f>H131+I132+I133</f>
        <v>12674.112000000001</v>
      </c>
      <c r="K131" s="1">
        <f>2.55*(9.8+32.3+11.1)</f>
        <v>135.65999999999997</v>
      </c>
    </row>
    <row r="132" spans="1:11" s="11" customFormat="1" ht="15.6" x14ac:dyDescent="0.25">
      <c r="A132" s="36"/>
      <c r="B132" s="20" t="s">
        <v>49</v>
      </c>
      <c r="C132" s="10" t="s">
        <v>59</v>
      </c>
      <c r="D132" s="49">
        <v>0.2</v>
      </c>
      <c r="E132" s="49"/>
      <c r="F132" s="16"/>
      <c r="G132" s="43">
        <v>37</v>
      </c>
      <c r="H132" s="7"/>
      <c r="I132" s="9">
        <f>G132*D132*F131</f>
        <v>332.11200000000002</v>
      </c>
      <c r="J132" s="12"/>
    </row>
    <row r="133" spans="1:11" s="11" customFormat="1" ht="15.6" x14ac:dyDescent="0.25">
      <c r="A133" s="36"/>
      <c r="B133" s="20" t="s">
        <v>49</v>
      </c>
      <c r="C133" s="10" t="s">
        <v>53</v>
      </c>
      <c r="D133" s="49">
        <v>15</v>
      </c>
      <c r="E133" s="49"/>
      <c r="F133" s="16"/>
      <c r="G133" s="43">
        <f>190/30</f>
        <v>6.333333333333333</v>
      </c>
      <c r="I133" s="7">
        <f>G133*D133*F131</f>
        <v>4263.6000000000004</v>
      </c>
      <c r="J133" s="12"/>
    </row>
    <row r="134" spans="1:11" ht="21" customHeight="1" x14ac:dyDescent="0.25">
      <c r="A134" s="35">
        <v>29</v>
      </c>
      <c r="B134" s="33" t="s">
        <v>8</v>
      </c>
      <c r="C134" s="31" t="s">
        <v>39</v>
      </c>
      <c r="D134" s="48" t="s">
        <v>9</v>
      </c>
      <c r="E134" s="48" t="s">
        <v>9</v>
      </c>
      <c r="F134" s="23">
        <f>F131+F130</f>
        <v>93.33</v>
      </c>
      <c r="G134" s="42">
        <v>115</v>
      </c>
      <c r="H134" s="24">
        <f>F134*G134</f>
        <v>10732.949999999999</v>
      </c>
      <c r="I134" s="24"/>
      <c r="J134" s="25">
        <f>H134+I135+I136</f>
        <v>11572.92</v>
      </c>
    </row>
    <row r="135" spans="1:11" s="11" customFormat="1" ht="15.6" x14ac:dyDescent="0.25">
      <c r="A135" s="36"/>
      <c r="B135" s="20" t="s">
        <v>49</v>
      </c>
      <c r="C135" s="10" t="s">
        <v>66</v>
      </c>
      <c r="D135" s="49">
        <v>0.2</v>
      </c>
      <c r="E135" s="49"/>
      <c r="F135" s="16"/>
      <c r="G135" s="44">
        <v>16</v>
      </c>
      <c r="H135" s="12"/>
      <c r="I135" s="9">
        <f>G135*D135*F134</f>
        <v>298.65600000000001</v>
      </c>
      <c r="J135" s="12"/>
    </row>
    <row r="136" spans="1:11" s="11" customFormat="1" ht="15.6" x14ac:dyDescent="0.25">
      <c r="A136" s="36"/>
      <c r="B136" s="20" t="s">
        <v>49</v>
      </c>
      <c r="C136" s="10" t="s">
        <v>61</v>
      </c>
      <c r="D136" s="49">
        <v>0.6</v>
      </c>
      <c r="E136" s="49"/>
      <c r="F136" s="16"/>
      <c r="G136" s="43">
        <f>290/30</f>
        <v>9.6666666666666661</v>
      </c>
      <c r="H136" s="12"/>
      <c r="I136" s="9">
        <f>G136*D136*F134</f>
        <v>541.31399999999996</v>
      </c>
      <c r="J136" s="12"/>
    </row>
    <row r="137" spans="1:11" ht="14.4" x14ac:dyDescent="0.3">
      <c r="A137" s="70">
        <v>3</v>
      </c>
      <c r="B137" s="71" t="s">
        <v>8</v>
      </c>
      <c r="C137" s="72" t="s">
        <v>91</v>
      </c>
      <c r="D137" s="73"/>
      <c r="E137" s="73" t="s">
        <v>9</v>
      </c>
      <c r="F137" s="82">
        <f>F131+F130</f>
        <v>93.33</v>
      </c>
      <c r="G137" s="75">
        <v>115</v>
      </c>
      <c r="H137" s="74">
        <f>F137*G137</f>
        <v>10732.949999999999</v>
      </c>
      <c r="I137" s="83"/>
      <c r="J137" s="76">
        <f>H137+I138+I139</f>
        <v>21800.452153846156</v>
      </c>
    </row>
    <row r="138" spans="1:11" s="11" customFormat="1" ht="14.4" x14ac:dyDescent="0.3">
      <c r="A138" s="70"/>
      <c r="B138" s="77" t="s">
        <v>49</v>
      </c>
      <c r="C138" s="72" t="s">
        <v>55</v>
      </c>
      <c r="D138" s="84">
        <v>0.2</v>
      </c>
      <c r="E138" s="84"/>
      <c r="F138" s="85"/>
      <c r="G138" s="75">
        <v>16</v>
      </c>
      <c r="H138" s="74"/>
      <c r="I138" s="74">
        <f>G138*D138*F137</f>
        <v>298.65600000000001</v>
      </c>
      <c r="J138" s="85"/>
    </row>
    <row r="139" spans="1:11" s="11" customFormat="1" ht="28.8" x14ac:dyDescent="0.3">
      <c r="A139" s="70"/>
      <c r="B139" s="77" t="s">
        <v>49</v>
      </c>
      <c r="C139" s="72" t="s">
        <v>57</v>
      </c>
      <c r="D139" s="84">
        <v>0.5</v>
      </c>
      <c r="E139" s="84"/>
      <c r="F139" s="85"/>
      <c r="G139" s="79">
        <f>3000/13</f>
        <v>230.76923076923077</v>
      </c>
      <c r="H139" s="74"/>
      <c r="I139" s="76">
        <f>G139*D139*F137</f>
        <v>10768.846153846154</v>
      </c>
      <c r="J139" s="85"/>
    </row>
    <row r="140" spans="1:11" ht="15.75" customHeight="1" x14ac:dyDescent="0.25">
      <c r="A140" s="232" t="s">
        <v>31</v>
      </c>
      <c r="B140" s="233"/>
      <c r="C140" s="233"/>
      <c r="D140" s="233"/>
      <c r="E140" s="233"/>
      <c r="F140" s="233"/>
      <c r="G140" s="233"/>
      <c r="H140" s="233"/>
      <c r="I140" s="233"/>
      <c r="J140" s="234"/>
    </row>
    <row r="141" spans="1:11" ht="15.75" customHeight="1" x14ac:dyDescent="0.25">
      <c r="A141" s="224" t="s">
        <v>28</v>
      </c>
      <c r="B141" s="225"/>
      <c r="C141" s="225"/>
      <c r="D141" s="225"/>
      <c r="E141" s="225"/>
      <c r="F141" s="225"/>
      <c r="G141" s="225"/>
      <c r="H141" s="225"/>
      <c r="I141" s="225"/>
      <c r="J141" s="226"/>
    </row>
    <row r="142" spans="1:11" x14ac:dyDescent="0.25">
      <c r="A142" s="37">
        <v>31</v>
      </c>
      <c r="B142" s="21" t="s">
        <v>8</v>
      </c>
      <c r="C142" s="22" t="s">
        <v>92</v>
      </c>
      <c r="D142" s="48"/>
      <c r="E142" s="48" t="s">
        <v>9</v>
      </c>
      <c r="F142" s="23">
        <v>12.9</v>
      </c>
      <c r="G142" s="42">
        <v>400</v>
      </c>
      <c r="H142" s="24">
        <f>F142*G142</f>
        <v>5160</v>
      </c>
      <c r="I142" s="24"/>
      <c r="J142" s="25">
        <f>H142+I143+I144+I145+I146</f>
        <v>5655.0374999999995</v>
      </c>
    </row>
    <row r="143" spans="1:11" s="11" customFormat="1" ht="15.6" x14ac:dyDescent="0.3">
      <c r="A143" s="38"/>
      <c r="B143" s="20" t="s">
        <v>49</v>
      </c>
      <c r="C143" s="10" t="s">
        <v>51</v>
      </c>
      <c r="D143" s="53">
        <v>0.2</v>
      </c>
      <c r="E143" s="51"/>
      <c r="F143" s="18"/>
      <c r="G143" s="44">
        <v>15.5</v>
      </c>
      <c r="H143" s="13"/>
      <c r="I143" s="9">
        <f>G143*D143*F142</f>
        <v>39.99</v>
      </c>
      <c r="J143" s="15"/>
    </row>
    <row r="144" spans="1:11" s="11" customFormat="1" ht="15.6" x14ac:dyDescent="0.3">
      <c r="A144" s="38"/>
      <c r="B144" s="20" t="s">
        <v>49</v>
      </c>
      <c r="C144" s="10" t="s">
        <v>44</v>
      </c>
      <c r="D144" s="53">
        <v>1.02</v>
      </c>
      <c r="E144" s="51"/>
      <c r="F144" s="18"/>
      <c r="G144" s="44"/>
      <c r="H144" s="13"/>
      <c r="I144" s="9">
        <f>G144*D144*F142</f>
        <v>0</v>
      </c>
      <c r="J144" s="15"/>
    </row>
    <row r="145" spans="1:10" s="11" customFormat="1" ht="15.6" x14ac:dyDescent="0.3">
      <c r="A145" s="38"/>
      <c r="B145" s="20" t="s">
        <v>49</v>
      </c>
      <c r="C145" s="14" t="s">
        <v>45</v>
      </c>
      <c r="D145" s="53">
        <v>4.2</v>
      </c>
      <c r="E145" s="51"/>
      <c r="F145" s="18"/>
      <c r="G145" s="44">
        <f>150/25</f>
        <v>6</v>
      </c>
      <c r="H145" s="13"/>
      <c r="I145" s="9">
        <f>G145*D145*F142</f>
        <v>325.08000000000004</v>
      </c>
      <c r="J145" s="15"/>
    </row>
    <row r="146" spans="1:10" s="11" customFormat="1" ht="15.6" x14ac:dyDescent="0.3">
      <c r="A146" s="38"/>
      <c r="B146" s="20" t="s">
        <v>49</v>
      </c>
      <c r="C146" s="14" t="s">
        <v>50</v>
      </c>
      <c r="D146" s="53">
        <v>0.13</v>
      </c>
      <c r="E146" s="51"/>
      <c r="F146" s="18"/>
      <c r="G146" s="44">
        <f>155/2</f>
        <v>77.5</v>
      </c>
      <c r="H146" s="13"/>
      <c r="I146" s="9">
        <f>F142*D146*G146</f>
        <v>129.9675</v>
      </c>
      <c r="J146" s="15"/>
    </row>
    <row r="147" spans="1:10" s="11" customFormat="1" ht="15.75" customHeight="1" x14ac:dyDescent="0.25">
      <c r="A147" s="243" t="s">
        <v>33</v>
      </c>
      <c r="B147" s="244"/>
      <c r="C147" s="244"/>
      <c r="D147" s="244"/>
      <c r="E147" s="244"/>
      <c r="F147" s="244"/>
      <c r="G147" s="244"/>
      <c r="H147" s="244"/>
      <c r="I147" s="244"/>
      <c r="J147" s="245"/>
    </row>
    <row r="148" spans="1:10" ht="24" customHeight="1" x14ac:dyDescent="0.25">
      <c r="A148" s="37">
        <v>32</v>
      </c>
      <c r="B148" s="21" t="s">
        <v>8</v>
      </c>
      <c r="C148" s="22" t="s">
        <v>92</v>
      </c>
      <c r="D148" s="48"/>
      <c r="E148" s="48" t="s">
        <v>9</v>
      </c>
      <c r="F148" s="24">
        <v>92.2</v>
      </c>
      <c r="G148" s="42">
        <v>400</v>
      </c>
      <c r="H148" s="24">
        <f>F148*G148</f>
        <v>36880</v>
      </c>
      <c r="I148" s="26"/>
      <c r="J148" s="25">
        <f>H148+I149+I150+I151+I152</f>
        <v>40418.175000000003</v>
      </c>
    </row>
    <row r="149" spans="1:10" s="11" customFormat="1" ht="15.6" x14ac:dyDescent="0.3">
      <c r="A149" s="38"/>
      <c r="B149" s="20" t="s">
        <v>49</v>
      </c>
      <c r="C149" s="10" t="s">
        <v>67</v>
      </c>
      <c r="D149" s="53">
        <v>0.2</v>
      </c>
      <c r="E149" s="51"/>
      <c r="F149" s="18"/>
      <c r="G149" s="44">
        <v>15.5</v>
      </c>
      <c r="H149" s="13"/>
      <c r="I149" s="9">
        <f>G149*D149*F148</f>
        <v>285.82</v>
      </c>
      <c r="J149" s="15"/>
    </row>
    <row r="150" spans="1:10" s="11" customFormat="1" ht="15.6" x14ac:dyDescent="0.3">
      <c r="A150" s="38"/>
      <c r="B150" s="19" t="s">
        <v>48</v>
      </c>
      <c r="C150" s="10" t="s">
        <v>44</v>
      </c>
      <c r="D150" s="53">
        <v>1.02</v>
      </c>
      <c r="E150" s="51"/>
      <c r="F150" s="18"/>
      <c r="G150" s="44"/>
      <c r="H150" s="13"/>
      <c r="I150" s="9">
        <f>G150*D150*F148</f>
        <v>0</v>
      </c>
      <c r="J150" s="15"/>
    </row>
    <row r="151" spans="1:10" s="11" customFormat="1" ht="15.6" x14ac:dyDescent="0.3">
      <c r="A151" s="38"/>
      <c r="B151" s="20" t="s">
        <v>49</v>
      </c>
      <c r="C151" s="14" t="s">
        <v>68</v>
      </c>
      <c r="D151" s="53">
        <v>4.2</v>
      </c>
      <c r="E151" s="51"/>
      <c r="F151" s="18"/>
      <c r="G151" s="44">
        <f>150/25</f>
        <v>6</v>
      </c>
      <c r="H151" s="13"/>
      <c r="I151" s="9">
        <f>G151*D151*F148</f>
        <v>2323.4400000000005</v>
      </c>
      <c r="J151" s="15"/>
    </row>
    <row r="152" spans="1:10" s="11" customFormat="1" ht="15.6" x14ac:dyDescent="0.3">
      <c r="A152" s="38"/>
      <c r="B152" s="20" t="s">
        <v>49</v>
      </c>
      <c r="C152" s="14" t="s">
        <v>69</v>
      </c>
      <c r="D152" s="53">
        <v>0.13</v>
      </c>
      <c r="E152" s="51"/>
      <c r="F152" s="18"/>
      <c r="G152" s="44">
        <f>155/2</f>
        <v>77.5</v>
      </c>
      <c r="H152" s="13"/>
      <c r="I152" s="9">
        <f>F148*D152*G152</f>
        <v>928.91500000000008</v>
      </c>
      <c r="J152" s="15"/>
    </row>
    <row r="153" spans="1:10" ht="14.4" x14ac:dyDescent="0.25">
      <c r="A153" s="243" t="s">
        <v>32</v>
      </c>
      <c r="B153" s="244"/>
      <c r="C153" s="244"/>
      <c r="D153" s="244"/>
      <c r="E153" s="244"/>
      <c r="F153" s="244"/>
      <c r="G153" s="244"/>
      <c r="H153" s="244"/>
      <c r="I153" s="244"/>
      <c r="J153" s="245"/>
    </row>
    <row r="154" spans="1:10" x14ac:dyDescent="0.25">
      <c r="A154" s="37">
        <v>33</v>
      </c>
      <c r="B154" s="21" t="s">
        <v>8</v>
      </c>
      <c r="C154" s="22" t="s">
        <v>92</v>
      </c>
      <c r="D154" s="48" t="s">
        <v>9</v>
      </c>
      <c r="E154" s="48" t="s">
        <v>9</v>
      </c>
      <c r="F154" s="23">
        <v>5</v>
      </c>
      <c r="G154" s="42">
        <v>400</v>
      </c>
      <c r="H154" s="24">
        <f>F154*G154</f>
        <v>2000</v>
      </c>
      <c r="I154" s="24"/>
      <c r="J154" s="25">
        <f>H154+I155+I156+I157+I158</f>
        <v>2191.875</v>
      </c>
    </row>
    <row r="155" spans="1:10" s="11" customFormat="1" ht="15.6" x14ac:dyDescent="0.3">
      <c r="A155" s="38"/>
      <c r="B155" s="20" t="s">
        <v>49</v>
      </c>
      <c r="C155" s="10" t="s">
        <v>51</v>
      </c>
      <c r="D155" s="53">
        <v>0.2</v>
      </c>
      <c r="E155" s="51"/>
      <c r="F155" s="18"/>
      <c r="G155" s="44">
        <v>15.5</v>
      </c>
      <c r="H155" s="13"/>
      <c r="I155" s="9">
        <f>G155*D155*F154</f>
        <v>15.5</v>
      </c>
      <c r="J155" s="15"/>
    </row>
    <row r="156" spans="1:10" s="11" customFormat="1" ht="15.6" x14ac:dyDescent="0.3">
      <c r="A156" s="38"/>
      <c r="B156" s="19" t="s">
        <v>48</v>
      </c>
      <c r="C156" s="10" t="s">
        <v>44</v>
      </c>
      <c r="D156" s="53">
        <v>1.02</v>
      </c>
      <c r="E156" s="51"/>
      <c r="F156" s="18"/>
      <c r="G156" s="44"/>
      <c r="H156" s="13"/>
      <c r="I156" s="9">
        <f>G156*D156*F154</f>
        <v>0</v>
      </c>
      <c r="J156" s="15"/>
    </row>
    <row r="157" spans="1:10" s="11" customFormat="1" ht="15.6" x14ac:dyDescent="0.3">
      <c r="A157" s="38"/>
      <c r="B157" s="20" t="s">
        <v>49</v>
      </c>
      <c r="C157" s="14" t="s">
        <v>68</v>
      </c>
      <c r="D157" s="53">
        <v>4.2</v>
      </c>
      <c r="E157" s="51"/>
      <c r="F157" s="18"/>
      <c r="G157" s="44">
        <f>150/25</f>
        <v>6</v>
      </c>
      <c r="H157" s="13"/>
      <c r="I157" s="9">
        <f>G157*D157*F154</f>
        <v>126.00000000000001</v>
      </c>
      <c r="J157" s="15"/>
    </row>
    <row r="158" spans="1:10" s="11" customFormat="1" ht="15.6" x14ac:dyDescent="0.3">
      <c r="A158" s="38"/>
      <c r="B158" s="20" t="s">
        <v>49</v>
      </c>
      <c r="C158" s="14" t="s">
        <v>69</v>
      </c>
      <c r="D158" s="53">
        <v>0.13</v>
      </c>
      <c r="E158" s="51"/>
      <c r="F158" s="18"/>
      <c r="G158" s="44">
        <f>155/2</f>
        <v>77.5</v>
      </c>
      <c r="H158" s="13"/>
      <c r="I158" s="9">
        <f>F154*D158*G158</f>
        <v>50.375</v>
      </c>
      <c r="J158" s="15"/>
    </row>
    <row r="159" spans="1:10" ht="15.75" customHeight="1" x14ac:dyDescent="0.25">
      <c r="A159" s="232" t="s">
        <v>27</v>
      </c>
      <c r="B159" s="233"/>
      <c r="C159" s="233"/>
      <c r="D159" s="233"/>
      <c r="E159" s="233"/>
      <c r="F159" s="233"/>
      <c r="G159" s="233"/>
      <c r="H159" s="233"/>
      <c r="I159" s="233"/>
      <c r="J159" s="234"/>
    </row>
    <row r="160" spans="1:10" s="11" customFormat="1" ht="15.75" customHeight="1" x14ac:dyDescent="0.25">
      <c r="A160" s="243" t="s">
        <v>47</v>
      </c>
      <c r="B160" s="244"/>
      <c r="C160" s="244"/>
      <c r="D160" s="244"/>
      <c r="E160" s="244"/>
      <c r="F160" s="244"/>
      <c r="G160" s="244"/>
      <c r="H160" s="244"/>
      <c r="I160" s="244"/>
      <c r="J160" s="245"/>
    </row>
    <row r="161" spans="1:12" ht="24" customHeight="1" x14ac:dyDescent="0.25">
      <c r="A161" s="35">
        <v>35</v>
      </c>
      <c r="B161" s="27" t="s">
        <v>46</v>
      </c>
      <c r="C161" s="22" t="s">
        <v>92</v>
      </c>
      <c r="D161" s="48"/>
      <c r="E161" s="48" t="s">
        <v>9</v>
      </c>
      <c r="F161" s="24">
        <f>L169</f>
        <v>85.8</v>
      </c>
      <c r="G161" s="42">
        <v>400</v>
      </c>
      <c r="H161" s="24">
        <f>F161*G161</f>
        <v>34320</v>
      </c>
      <c r="I161" s="24"/>
      <c r="J161" s="25">
        <f>H161+I162+I163+I164+I165</f>
        <v>37612.575000000004</v>
      </c>
      <c r="K161" s="1">
        <f>31+20.8+31</f>
        <v>82.8</v>
      </c>
      <c r="L161" s="1">
        <f>31+20.8+31</f>
        <v>82.8</v>
      </c>
    </row>
    <row r="162" spans="1:12" s="11" customFormat="1" ht="15.6" x14ac:dyDescent="0.3">
      <c r="A162" s="36"/>
      <c r="B162" s="20" t="s">
        <v>49</v>
      </c>
      <c r="C162" s="10" t="s">
        <v>67</v>
      </c>
      <c r="D162" s="53">
        <v>0.2</v>
      </c>
      <c r="E162" s="51"/>
      <c r="F162" s="18"/>
      <c r="G162" s="44">
        <v>15.5</v>
      </c>
      <c r="H162" s="13"/>
      <c r="I162" s="9">
        <f>G162*D162*F161</f>
        <v>265.98</v>
      </c>
      <c r="J162" s="15"/>
      <c r="K162" s="93" t="s">
        <v>93</v>
      </c>
      <c r="L162" s="11">
        <f>30.4+30.4+19+0.2*3</f>
        <v>80.399999999999991</v>
      </c>
    </row>
    <row r="163" spans="1:12" s="11" customFormat="1" ht="15.6" x14ac:dyDescent="0.3">
      <c r="A163" s="36"/>
      <c r="B163" s="19" t="s">
        <v>48</v>
      </c>
      <c r="C163" s="10" t="s">
        <v>44</v>
      </c>
      <c r="D163" s="53">
        <v>1.02</v>
      </c>
      <c r="E163" s="51"/>
      <c r="F163" s="18"/>
      <c r="G163" s="44"/>
      <c r="H163" s="13"/>
      <c r="I163" s="9">
        <f>G163*D163*F161</f>
        <v>0</v>
      </c>
      <c r="J163" s="15"/>
      <c r="K163" s="11">
        <v>1</v>
      </c>
      <c r="L163" s="11">
        <v>32.5</v>
      </c>
    </row>
    <row r="164" spans="1:12" s="11" customFormat="1" ht="15.6" x14ac:dyDescent="0.3">
      <c r="A164" s="36"/>
      <c r="B164" s="20" t="s">
        <v>49</v>
      </c>
      <c r="C164" s="14" t="s">
        <v>45</v>
      </c>
      <c r="D164" s="53">
        <v>4.2</v>
      </c>
      <c r="E164" s="51"/>
      <c r="F164" s="18"/>
      <c r="G164" s="44">
        <f>150/25</f>
        <v>6</v>
      </c>
      <c r="H164" s="13"/>
      <c r="I164" s="9">
        <f>G164*D164*F161</f>
        <v>2162.1600000000003</v>
      </c>
      <c r="J164" s="15"/>
      <c r="L164" s="11">
        <v>21</v>
      </c>
    </row>
    <row r="165" spans="1:12" s="11" customFormat="1" ht="15.6" x14ac:dyDescent="0.3">
      <c r="A165" s="36"/>
      <c r="B165" s="20" t="s">
        <v>49</v>
      </c>
      <c r="C165" s="14" t="s">
        <v>50</v>
      </c>
      <c r="D165" s="53">
        <v>0.13</v>
      </c>
      <c r="E165" s="51"/>
      <c r="F165" s="18"/>
      <c r="G165" s="44">
        <f>155/2</f>
        <v>77.5</v>
      </c>
      <c r="H165" s="13"/>
      <c r="I165" s="9">
        <f>F161*D165*G165</f>
        <v>864.43499999999995</v>
      </c>
      <c r="J165" s="15"/>
      <c r="L165" s="11">
        <v>31.7</v>
      </c>
    </row>
    <row r="166" spans="1:12" s="11" customFormat="1" ht="26.4" x14ac:dyDescent="0.3">
      <c r="A166" s="36"/>
      <c r="B166" s="20" t="s">
        <v>49</v>
      </c>
      <c r="C166" s="14" t="s">
        <v>111</v>
      </c>
      <c r="D166" s="53"/>
      <c r="E166" s="51" t="s">
        <v>13</v>
      </c>
      <c r="F166" s="18">
        <f>45.8+19+45.9-(18*0.9+1.32+1.3+1.3+1.3)</f>
        <v>89.279999999999987</v>
      </c>
      <c r="G166" s="44">
        <v>130</v>
      </c>
      <c r="H166" s="24">
        <f>F166*G166</f>
        <v>11606.399999999998</v>
      </c>
      <c r="I166" s="9"/>
      <c r="J166" s="15"/>
    </row>
    <row r="167" spans="1:12" s="11" customFormat="1" ht="15.6" x14ac:dyDescent="0.3">
      <c r="A167" s="36"/>
      <c r="B167" s="19" t="s">
        <v>48</v>
      </c>
      <c r="C167" s="10" t="s">
        <v>44</v>
      </c>
      <c r="D167" s="53">
        <v>1.02</v>
      </c>
      <c r="E167" s="51"/>
      <c r="F167" s="18"/>
      <c r="G167" s="44"/>
      <c r="H167" s="13"/>
      <c r="I167" s="9">
        <f>G167*D167*F165</f>
        <v>0</v>
      </c>
      <c r="J167" s="15"/>
      <c r="K167" s="11">
        <v>1</v>
      </c>
      <c r="L167" s="11">
        <v>32.5</v>
      </c>
    </row>
    <row r="168" spans="1:12" s="11" customFormat="1" ht="15.75" customHeight="1" x14ac:dyDescent="0.25">
      <c r="A168" s="243" t="s">
        <v>34</v>
      </c>
      <c r="B168" s="244"/>
      <c r="C168" s="244"/>
      <c r="D168" s="244"/>
      <c r="E168" s="244"/>
      <c r="F168" s="244"/>
      <c r="G168" s="244"/>
      <c r="H168" s="244"/>
      <c r="I168" s="244"/>
      <c r="J168" s="245"/>
      <c r="L168" s="11">
        <f>0.2*3</f>
        <v>0.60000000000000009</v>
      </c>
    </row>
    <row r="169" spans="1:12" ht="24" customHeight="1" x14ac:dyDescent="0.25">
      <c r="A169" s="35">
        <v>36</v>
      </c>
      <c r="B169" s="27" t="s">
        <v>46</v>
      </c>
      <c r="C169" s="22" t="s">
        <v>92</v>
      </c>
      <c r="D169" s="48"/>
      <c r="E169" s="48" t="s">
        <v>9</v>
      </c>
      <c r="F169" s="24">
        <f>12.3+3.4+8.1</f>
        <v>23.8</v>
      </c>
      <c r="G169" s="42">
        <v>400</v>
      </c>
      <c r="H169" s="24">
        <f>F169*G169</f>
        <v>9520</v>
      </c>
      <c r="I169" s="24"/>
      <c r="J169" s="25">
        <f>H169+I170+I171+I172+I173</f>
        <v>10433.325000000001</v>
      </c>
      <c r="L169" s="1">
        <f>L168+L165+L164+L163</f>
        <v>85.8</v>
      </c>
    </row>
    <row r="170" spans="1:12" s="11" customFormat="1" ht="15.6" x14ac:dyDescent="0.3">
      <c r="A170" s="36"/>
      <c r="B170" s="20" t="s">
        <v>49</v>
      </c>
      <c r="C170" s="10" t="s">
        <v>51</v>
      </c>
      <c r="D170" s="53">
        <v>0.2</v>
      </c>
      <c r="E170" s="51"/>
      <c r="F170" s="18"/>
      <c r="G170" s="44">
        <v>15.5</v>
      </c>
      <c r="H170" s="13"/>
      <c r="I170" s="9">
        <f>G170*D170*F169</f>
        <v>73.78</v>
      </c>
      <c r="J170" s="15"/>
    </row>
    <row r="171" spans="1:12" s="11" customFormat="1" ht="15.6" x14ac:dyDescent="0.3">
      <c r="A171" s="36"/>
      <c r="B171" s="19" t="s">
        <v>48</v>
      </c>
      <c r="C171" s="10" t="s">
        <v>44</v>
      </c>
      <c r="D171" s="53">
        <v>1.02</v>
      </c>
      <c r="E171" s="51"/>
      <c r="F171" s="18"/>
      <c r="G171" s="44"/>
      <c r="H171" s="13"/>
      <c r="I171" s="9">
        <f>G171*D171*F169</f>
        <v>0</v>
      </c>
      <c r="J171" s="15"/>
      <c r="L171" s="11">
        <f>80.4*7+L169</f>
        <v>648.6</v>
      </c>
    </row>
    <row r="172" spans="1:12" s="11" customFormat="1" ht="15.6" x14ac:dyDescent="0.3">
      <c r="A172" s="36"/>
      <c r="B172" s="20" t="s">
        <v>49</v>
      </c>
      <c r="C172" s="14" t="s">
        <v>45</v>
      </c>
      <c r="D172" s="53">
        <v>4.2</v>
      </c>
      <c r="E172" s="51"/>
      <c r="F172" s="18"/>
      <c r="G172" s="44">
        <f>150/25</f>
        <v>6</v>
      </c>
      <c r="H172" s="13"/>
      <c r="I172" s="9">
        <f>G172*D172*F169</f>
        <v>599.7600000000001</v>
      </c>
      <c r="J172" s="15"/>
    </row>
    <row r="173" spans="1:12" s="11" customFormat="1" ht="15.6" x14ac:dyDescent="0.3">
      <c r="A173" s="36"/>
      <c r="B173" s="20" t="s">
        <v>49</v>
      </c>
      <c r="C173" s="14" t="s">
        <v>50</v>
      </c>
      <c r="D173" s="53">
        <v>0.13</v>
      </c>
      <c r="E173" s="51"/>
      <c r="F173" s="18"/>
      <c r="G173" s="44">
        <f>155/2</f>
        <v>77.5</v>
      </c>
      <c r="H173" s="13"/>
      <c r="I173" s="9">
        <f>F169*D173*G173</f>
        <v>239.78500000000003</v>
      </c>
      <c r="J173" s="15"/>
    </row>
    <row r="174" spans="1:12" s="11" customFormat="1" ht="26.4" x14ac:dyDescent="0.3">
      <c r="A174" s="36"/>
      <c r="B174" s="20" t="s">
        <v>49</v>
      </c>
      <c r="C174" s="14" t="s">
        <v>111</v>
      </c>
      <c r="D174" s="53"/>
      <c r="E174" s="51" t="s">
        <v>13</v>
      </c>
      <c r="F174" s="18">
        <f>(10.3+7+9.7+2)*1</f>
        <v>29</v>
      </c>
      <c r="G174" s="44">
        <f>G166</f>
        <v>130</v>
      </c>
      <c r="H174" s="24">
        <f>F174*G174</f>
        <v>3770</v>
      </c>
      <c r="I174" s="9"/>
      <c r="J174" s="15"/>
    </row>
    <row r="175" spans="1:12" s="11" customFormat="1" ht="15.6" x14ac:dyDescent="0.3">
      <c r="A175" s="36"/>
      <c r="B175" s="19" t="s">
        <v>48</v>
      </c>
      <c r="C175" s="10" t="s">
        <v>44</v>
      </c>
      <c r="D175" s="53">
        <v>1.02</v>
      </c>
      <c r="E175" s="51"/>
      <c r="F175" s="18"/>
      <c r="G175" s="44"/>
      <c r="H175" s="13"/>
      <c r="I175" s="9">
        <f>G175*D175*F173</f>
        <v>0</v>
      </c>
      <c r="J175" s="15"/>
      <c r="K175" s="11">
        <v>1</v>
      </c>
      <c r="L175" s="11">
        <v>32.5</v>
      </c>
    </row>
    <row r="176" spans="1:12" s="11" customFormat="1" ht="15.75" customHeight="1" x14ac:dyDescent="0.25">
      <c r="A176" s="243" t="s">
        <v>96</v>
      </c>
      <c r="B176" s="244"/>
      <c r="C176" s="244"/>
      <c r="D176" s="244"/>
      <c r="E176" s="244"/>
      <c r="F176" s="244"/>
      <c r="G176" s="244"/>
      <c r="H176" s="244"/>
      <c r="I176" s="244"/>
      <c r="J176" s="245"/>
      <c r="L176" s="11">
        <f>0.2*3</f>
        <v>0.60000000000000009</v>
      </c>
    </row>
    <row r="177" spans="1:12" ht="24" customHeight="1" x14ac:dyDescent="0.25">
      <c r="A177" s="35">
        <v>36</v>
      </c>
      <c r="B177" s="27" t="s">
        <v>46</v>
      </c>
      <c r="C177" s="22" t="str">
        <f>C169</f>
        <v xml:space="preserve">Облицовка керамической плиткой </v>
      </c>
      <c r="D177" s="48"/>
      <c r="E177" s="48" t="s">
        <v>9</v>
      </c>
      <c r="F177" s="24">
        <f>4.9+2.7+2.3</f>
        <v>9.9</v>
      </c>
      <c r="G177" s="42">
        <v>400</v>
      </c>
      <c r="H177" s="24">
        <f>F177*G177</f>
        <v>3960</v>
      </c>
      <c r="I177" s="24"/>
      <c r="J177" s="25">
        <f>H177+I178+I179+I180+I181</f>
        <v>4339.9125000000004</v>
      </c>
      <c r="L177" s="1">
        <f>L176+L173+L172+L171</f>
        <v>649.20000000000005</v>
      </c>
    </row>
    <row r="178" spans="1:12" s="11" customFormat="1" ht="15.6" x14ac:dyDescent="0.3">
      <c r="A178" s="36"/>
      <c r="B178" s="20" t="s">
        <v>49</v>
      </c>
      <c r="C178" s="10" t="s">
        <v>51</v>
      </c>
      <c r="D178" s="53">
        <v>0.2</v>
      </c>
      <c r="E178" s="51"/>
      <c r="F178" s="18"/>
      <c r="G178" s="44">
        <v>15.5</v>
      </c>
      <c r="H178" s="13"/>
      <c r="I178" s="9">
        <f>G178*D178*F177</f>
        <v>30.69</v>
      </c>
      <c r="J178" s="15"/>
    </row>
    <row r="179" spans="1:12" s="11" customFormat="1" ht="15.6" x14ac:dyDescent="0.3">
      <c r="A179" s="36"/>
      <c r="B179" s="19" t="s">
        <v>48</v>
      </c>
      <c r="C179" s="10" t="s">
        <v>44</v>
      </c>
      <c r="D179" s="53">
        <v>1.02</v>
      </c>
      <c r="E179" s="51"/>
      <c r="F179" s="18"/>
      <c r="G179" s="44"/>
      <c r="H179" s="13"/>
      <c r="I179" s="9">
        <f>G179*D179*F177</f>
        <v>0</v>
      </c>
      <c r="J179" s="15"/>
      <c r="L179" s="11">
        <f>80.4*7+L177</f>
        <v>1212</v>
      </c>
    </row>
    <row r="180" spans="1:12" s="11" customFormat="1" ht="15.6" x14ac:dyDescent="0.3">
      <c r="A180" s="36"/>
      <c r="B180" s="20" t="s">
        <v>49</v>
      </c>
      <c r="C180" s="14" t="s">
        <v>45</v>
      </c>
      <c r="D180" s="53">
        <v>4.2</v>
      </c>
      <c r="E180" s="51"/>
      <c r="F180" s="18"/>
      <c r="G180" s="44">
        <f>150/25</f>
        <v>6</v>
      </c>
      <c r="H180" s="13"/>
      <c r="I180" s="9">
        <f>G180*D180*F177</f>
        <v>249.48000000000005</v>
      </c>
      <c r="J180" s="15"/>
    </row>
    <row r="181" spans="1:12" s="11" customFormat="1" ht="15.6" x14ac:dyDescent="0.3">
      <c r="A181" s="36"/>
      <c r="B181" s="20" t="s">
        <v>49</v>
      </c>
      <c r="C181" s="14" t="s">
        <v>50</v>
      </c>
      <c r="D181" s="53">
        <v>0.13</v>
      </c>
      <c r="E181" s="51"/>
      <c r="F181" s="18"/>
      <c r="G181" s="44">
        <f>155/2</f>
        <v>77.5</v>
      </c>
      <c r="H181" s="13"/>
      <c r="I181" s="9">
        <f>F177*D181*G181</f>
        <v>99.742500000000007</v>
      </c>
      <c r="J181" s="15"/>
    </row>
    <row r="182" spans="1:12" s="11" customFormat="1" ht="26.4" x14ac:dyDescent="0.3">
      <c r="A182" s="36"/>
      <c r="B182" s="20" t="s">
        <v>49</v>
      </c>
      <c r="C182" s="14" t="str">
        <f>C174</f>
        <v xml:space="preserve">Устройство керамического плинтуса 150 мм
</v>
      </c>
      <c r="D182" s="53"/>
      <c r="E182" s="51" t="s">
        <v>13</v>
      </c>
      <c r="F182" s="18">
        <f>1.125+1.16+1.31+1.05+0.55+2.745-1.3</f>
        <v>6.6400000000000006</v>
      </c>
      <c r="G182" s="44">
        <f>G174</f>
        <v>130</v>
      </c>
      <c r="H182" s="24">
        <f>F182*G182</f>
        <v>863.2</v>
      </c>
      <c r="I182" s="9"/>
      <c r="J182" s="15"/>
    </row>
    <row r="183" spans="1:12" s="11" customFormat="1" ht="15.6" x14ac:dyDescent="0.3">
      <c r="A183" s="36"/>
      <c r="B183" s="19" t="s">
        <v>48</v>
      </c>
      <c r="C183" s="10" t="s">
        <v>44</v>
      </c>
      <c r="D183" s="53">
        <v>1.02</v>
      </c>
      <c r="E183" s="51"/>
      <c r="F183" s="18"/>
      <c r="G183" s="44"/>
      <c r="H183" s="13"/>
      <c r="I183" s="9">
        <f>G183*D183*F181</f>
        <v>0</v>
      </c>
      <c r="J183" s="15"/>
      <c r="K183" s="11">
        <v>1</v>
      </c>
      <c r="L183" s="11">
        <v>32.5</v>
      </c>
    </row>
    <row r="184" spans="1:12" ht="12.75" customHeight="1" x14ac:dyDescent="0.25">
      <c r="A184" s="232" t="s">
        <v>35</v>
      </c>
      <c r="B184" s="233"/>
      <c r="C184" s="233"/>
      <c r="D184" s="233"/>
      <c r="E184" s="233"/>
      <c r="F184" s="233"/>
      <c r="G184" s="233"/>
      <c r="H184" s="233"/>
      <c r="I184" s="233"/>
      <c r="J184" s="234"/>
    </row>
    <row r="185" spans="1:12" ht="12.75" customHeight="1" x14ac:dyDescent="0.25">
      <c r="A185" s="224" t="s">
        <v>47</v>
      </c>
      <c r="B185" s="225"/>
      <c r="C185" s="225"/>
      <c r="D185" s="225"/>
      <c r="E185" s="225"/>
      <c r="F185" s="225"/>
      <c r="G185" s="225"/>
      <c r="H185" s="225"/>
      <c r="I185" s="225"/>
      <c r="J185" s="226"/>
    </row>
    <row r="186" spans="1:12" ht="35.25" customHeight="1" x14ac:dyDescent="0.25">
      <c r="A186" s="35">
        <v>37</v>
      </c>
      <c r="B186" s="27" t="s">
        <v>46</v>
      </c>
      <c r="C186" s="31" t="str">
        <f>C177</f>
        <v xml:space="preserve">Облицовка керамической плиткой </v>
      </c>
      <c r="D186" s="48"/>
      <c r="E186" s="48" t="s">
        <v>9</v>
      </c>
      <c r="F186" s="24">
        <f>L162*7</f>
        <v>562.79999999999995</v>
      </c>
      <c r="G186" s="42">
        <v>400</v>
      </c>
      <c r="H186" s="24">
        <f>F186*G186</f>
        <v>225119.99999999997</v>
      </c>
      <c r="I186" s="28"/>
      <c r="J186" s="25">
        <f>H186+I187+I188+I189+I190</f>
        <v>246717.44999999995</v>
      </c>
    </row>
    <row r="187" spans="1:12" s="11" customFormat="1" ht="15.6" x14ac:dyDescent="0.3">
      <c r="A187" s="36"/>
      <c r="B187" s="20" t="s">
        <v>49</v>
      </c>
      <c r="C187" s="10" t="s">
        <v>51</v>
      </c>
      <c r="D187" s="53">
        <v>0.2</v>
      </c>
      <c r="E187" s="51"/>
      <c r="F187" s="18"/>
      <c r="G187" s="44">
        <v>15.5</v>
      </c>
      <c r="H187" s="13"/>
      <c r="I187" s="9">
        <f>G187*D187*F186</f>
        <v>1744.6799999999998</v>
      </c>
      <c r="J187" s="15"/>
    </row>
    <row r="188" spans="1:12" s="11" customFormat="1" ht="15.6" x14ac:dyDescent="0.3">
      <c r="A188" s="36"/>
      <c r="B188" s="19" t="s">
        <v>48</v>
      </c>
      <c r="C188" s="10" t="s">
        <v>44</v>
      </c>
      <c r="D188" s="53">
        <v>1.02</v>
      </c>
      <c r="E188" s="51"/>
      <c r="F188" s="18"/>
      <c r="G188" s="44"/>
      <c r="H188" s="13"/>
      <c r="I188" s="9">
        <f>G188*D188*F186</f>
        <v>0</v>
      </c>
      <c r="J188" s="15"/>
    </row>
    <row r="189" spans="1:12" s="11" customFormat="1" ht="15.6" x14ac:dyDescent="0.3">
      <c r="A189" s="36"/>
      <c r="B189" s="20" t="s">
        <v>49</v>
      </c>
      <c r="C189" s="14" t="s">
        <v>68</v>
      </c>
      <c r="D189" s="53">
        <v>4.2</v>
      </c>
      <c r="E189" s="51"/>
      <c r="F189" s="18"/>
      <c r="G189" s="44">
        <f>150/25</f>
        <v>6</v>
      </c>
      <c r="H189" s="13"/>
      <c r="I189" s="9">
        <f>G189*D189*F186</f>
        <v>14182.560000000001</v>
      </c>
      <c r="J189" s="15"/>
    </row>
    <row r="190" spans="1:12" s="11" customFormat="1" ht="15.6" x14ac:dyDescent="0.3">
      <c r="A190" s="36"/>
      <c r="B190" s="20" t="s">
        <v>49</v>
      </c>
      <c r="C190" s="14" t="s">
        <v>50</v>
      </c>
      <c r="D190" s="53">
        <v>0.13</v>
      </c>
      <c r="E190" s="51"/>
      <c r="F190" s="18"/>
      <c r="G190" s="44">
        <f>155/2</f>
        <v>77.5</v>
      </c>
      <c r="H190" s="13"/>
      <c r="I190" s="9">
        <f>F186*D190*G190</f>
        <v>5670.21</v>
      </c>
      <c r="J190" s="15"/>
    </row>
    <row r="191" spans="1:12" s="11" customFormat="1" ht="26.4" x14ac:dyDescent="0.3">
      <c r="A191" s="36"/>
      <c r="B191" s="20" t="s">
        <v>49</v>
      </c>
      <c r="C191" s="14" t="str">
        <f>C182</f>
        <v xml:space="preserve">Устройство керамического плинтуса 150 мм
</v>
      </c>
      <c r="D191" s="53"/>
      <c r="E191" s="51" t="s">
        <v>13</v>
      </c>
      <c r="F191" s="18">
        <f>(44+19+44-(18*0.9+1.32+1.3+1.3+1.3))*7</f>
        <v>599.05999999999995</v>
      </c>
      <c r="G191" s="44">
        <f>G182</f>
        <v>130</v>
      </c>
      <c r="H191" s="24">
        <f>F191*G191</f>
        <v>77877.799999999988</v>
      </c>
      <c r="I191" s="9"/>
      <c r="J191" s="15"/>
    </row>
    <row r="192" spans="1:12" s="11" customFormat="1" ht="15.6" x14ac:dyDescent="0.3">
      <c r="A192" s="36"/>
      <c r="B192" s="19" t="s">
        <v>48</v>
      </c>
      <c r="C192" s="10" t="s">
        <v>44</v>
      </c>
      <c r="D192" s="53">
        <v>1.02</v>
      </c>
      <c r="E192" s="51"/>
      <c r="F192" s="18"/>
      <c r="G192" s="44"/>
      <c r="H192" s="13"/>
      <c r="I192" s="9">
        <f>G192*D192*F190</f>
        <v>0</v>
      </c>
      <c r="J192" s="15"/>
      <c r="K192" s="11">
        <v>1</v>
      </c>
      <c r="L192" s="11">
        <v>32.5</v>
      </c>
    </row>
    <row r="193" spans="1:12" s="11" customFormat="1" ht="15.75" customHeight="1" x14ac:dyDescent="0.25">
      <c r="A193" s="243" t="s">
        <v>94</v>
      </c>
      <c r="B193" s="244"/>
      <c r="C193" s="244"/>
      <c r="D193" s="244"/>
      <c r="E193" s="244"/>
      <c r="F193" s="244"/>
      <c r="G193" s="244"/>
      <c r="H193" s="244"/>
      <c r="I193" s="244"/>
      <c r="J193" s="245"/>
    </row>
    <row r="194" spans="1:12" ht="35.25" customHeight="1" x14ac:dyDescent="0.25">
      <c r="A194" s="35">
        <v>38</v>
      </c>
      <c r="B194" s="27" t="s">
        <v>46</v>
      </c>
      <c r="C194" s="31" t="str">
        <f>C186</f>
        <v xml:space="preserve">Облицовка керамической плиткой </v>
      </c>
      <c r="D194" s="48"/>
      <c r="E194" s="29" t="s">
        <v>9</v>
      </c>
      <c r="F194" s="24">
        <f>(12.1+8.7)*7+0</f>
        <v>145.59999999999997</v>
      </c>
      <c r="G194" s="42">
        <v>400</v>
      </c>
      <c r="H194" s="24">
        <f>F194*G194</f>
        <v>58239.999999999985</v>
      </c>
      <c r="I194" s="30"/>
      <c r="J194" s="25">
        <f>H194+I195+I196+I197+I198</f>
        <v>63827.399999999987</v>
      </c>
    </row>
    <row r="195" spans="1:12" s="11" customFormat="1" ht="15.6" x14ac:dyDescent="0.3">
      <c r="A195" s="36"/>
      <c r="B195" s="20" t="s">
        <v>49</v>
      </c>
      <c r="C195" s="10" t="s">
        <v>51</v>
      </c>
      <c r="D195" s="53">
        <v>0.2</v>
      </c>
      <c r="E195" s="51"/>
      <c r="F195" s="18"/>
      <c r="G195" s="44">
        <v>15.5</v>
      </c>
      <c r="H195" s="13"/>
      <c r="I195" s="9">
        <f>G195*D195*F194</f>
        <v>451.3599999999999</v>
      </c>
      <c r="J195" s="15"/>
    </row>
    <row r="196" spans="1:12" s="11" customFormat="1" ht="15.6" x14ac:dyDescent="0.3">
      <c r="A196" s="36"/>
      <c r="B196" s="19" t="s">
        <v>48</v>
      </c>
      <c r="C196" s="10" t="s">
        <v>44</v>
      </c>
      <c r="D196" s="53">
        <v>1.02</v>
      </c>
      <c r="E196" s="51"/>
      <c r="F196" s="18"/>
      <c r="G196" s="44"/>
      <c r="H196" s="13"/>
      <c r="I196" s="9">
        <f>G196*D196*F194</f>
        <v>0</v>
      </c>
      <c r="J196" s="15"/>
    </row>
    <row r="197" spans="1:12" s="11" customFormat="1" ht="15.6" x14ac:dyDescent="0.3">
      <c r="A197" s="36"/>
      <c r="B197" s="20" t="s">
        <v>49</v>
      </c>
      <c r="C197" s="14" t="s">
        <v>45</v>
      </c>
      <c r="D197" s="53">
        <v>4.2</v>
      </c>
      <c r="E197" s="51"/>
      <c r="F197" s="18"/>
      <c r="G197" s="44">
        <f>150/25</f>
        <v>6</v>
      </c>
      <c r="H197" s="13"/>
      <c r="I197" s="9">
        <f>G197*D197*F194</f>
        <v>3669.1199999999994</v>
      </c>
      <c r="J197" s="15"/>
    </row>
    <row r="198" spans="1:12" s="11" customFormat="1" ht="15.6" x14ac:dyDescent="0.3">
      <c r="A198" s="36"/>
      <c r="B198" s="20" t="s">
        <v>49</v>
      </c>
      <c r="C198" s="14" t="s">
        <v>50</v>
      </c>
      <c r="D198" s="53">
        <v>0.13</v>
      </c>
      <c r="E198" s="51"/>
      <c r="F198" s="18"/>
      <c r="G198" s="44">
        <f>155/2</f>
        <v>77.5</v>
      </c>
      <c r="H198" s="13"/>
      <c r="I198" s="9">
        <f>F194*D198*G198</f>
        <v>1466.9199999999998</v>
      </c>
      <c r="J198" s="15"/>
    </row>
    <row r="199" spans="1:12" s="11" customFormat="1" ht="26.4" x14ac:dyDescent="0.3">
      <c r="A199" s="36"/>
      <c r="B199" s="20" t="s">
        <v>49</v>
      </c>
      <c r="C199" s="14" t="str">
        <f>C191</f>
        <v xml:space="preserve">Устройство керамического плинтуса 150 мм
</v>
      </c>
      <c r="D199" s="53"/>
      <c r="E199" s="51" t="s">
        <v>13</v>
      </c>
      <c r="F199" s="18">
        <f>(17.8-1.3+1.95)*7</f>
        <v>129.15</v>
      </c>
      <c r="G199" s="44">
        <f>G191</f>
        <v>130</v>
      </c>
      <c r="H199" s="13">
        <f>F199*G199</f>
        <v>16789.5</v>
      </c>
      <c r="I199" s="9"/>
      <c r="J199" s="15"/>
    </row>
    <row r="200" spans="1:12" s="11" customFormat="1" ht="15.6" x14ac:dyDescent="0.3">
      <c r="A200" s="36"/>
      <c r="B200" s="19" t="s">
        <v>48</v>
      </c>
      <c r="C200" s="10" t="s">
        <v>44</v>
      </c>
      <c r="D200" s="53">
        <v>1.02</v>
      </c>
      <c r="E200" s="51"/>
      <c r="F200" s="18"/>
      <c r="G200" s="44"/>
      <c r="H200" s="13"/>
      <c r="I200" s="9">
        <f>G200*D200*F198</f>
        <v>0</v>
      </c>
      <c r="J200" s="15"/>
      <c r="K200" s="11">
        <v>1</v>
      </c>
      <c r="L200" s="11">
        <v>32.5</v>
      </c>
    </row>
    <row r="201" spans="1:12" s="11" customFormat="1" ht="15.75" customHeight="1" x14ac:dyDescent="0.25">
      <c r="A201" s="243" t="s">
        <v>96</v>
      </c>
      <c r="B201" s="244"/>
      <c r="C201" s="244"/>
      <c r="D201" s="244"/>
      <c r="E201" s="244"/>
      <c r="F201" s="244"/>
      <c r="G201" s="244"/>
      <c r="H201" s="244"/>
      <c r="I201" s="244"/>
      <c r="J201" s="245"/>
      <c r="L201" s="11">
        <f>0.2*3</f>
        <v>0.60000000000000009</v>
      </c>
    </row>
    <row r="202" spans="1:12" ht="24" customHeight="1" x14ac:dyDescent="0.25">
      <c r="A202" s="35">
        <v>36</v>
      </c>
      <c r="B202" s="27" t="s">
        <v>46</v>
      </c>
      <c r="C202" s="22" t="str">
        <f>C194</f>
        <v xml:space="preserve">Облицовка керамической плиткой </v>
      </c>
      <c r="D202" s="48"/>
      <c r="E202" s="48" t="s">
        <v>9</v>
      </c>
      <c r="F202" s="24">
        <f>(2.7+3.8+2.7)*7+2.7</f>
        <v>67.099999999999994</v>
      </c>
      <c r="G202" s="42">
        <v>400</v>
      </c>
      <c r="H202" s="24">
        <f>F202*G202</f>
        <v>26839.999999999996</v>
      </c>
      <c r="I202" s="24"/>
      <c r="J202" s="25">
        <f>H202+I203+I204+I205+I206</f>
        <v>29414.962499999994</v>
      </c>
      <c r="L202" s="1">
        <f>L201+L198+L197+L196</f>
        <v>0.60000000000000009</v>
      </c>
    </row>
    <row r="203" spans="1:12" s="11" customFormat="1" ht="15.6" x14ac:dyDescent="0.3">
      <c r="A203" s="36"/>
      <c r="B203" s="20" t="s">
        <v>49</v>
      </c>
      <c r="C203" s="10" t="s">
        <v>51</v>
      </c>
      <c r="D203" s="53">
        <v>0.2</v>
      </c>
      <c r="E203" s="51"/>
      <c r="F203" s="18"/>
      <c r="G203" s="44">
        <v>15.5</v>
      </c>
      <c r="H203" s="13"/>
      <c r="I203" s="9">
        <f>G203*D203*F202</f>
        <v>208.01</v>
      </c>
      <c r="J203" s="15"/>
    </row>
    <row r="204" spans="1:12" s="11" customFormat="1" ht="15.6" x14ac:dyDescent="0.3">
      <c r="A204" s="36"/>
      <c r="B204" s="19" t="s">
        <v>48</v>
      </c>
      <c r="C204" s="10" t="s">
        <v>44</v>
      </c>
      <c r="D204" s="53">
        <v>1.02</v>
      </c>
      <c r="E204" s="51"/>
      <c r="F204" s="18"/>
      <c r="G204" s="44"/>
      <c r="H204" s="13"/>
      <c r="I204" s="9">
        <f>G204*D204*F202</f>
        <v>0</v>
      </c>
      <c r="J204" s="15"/>
      <c r="L204" s="11">
        <f>80.4*7+L202</f>
        <v>563.40000000000009</v>
      </c>
    </row>
    <row r="205" spans="1:12" s="11" customFormat="1" ht="15.6" x14ac:dyDescent="0.3">
      <c r="A205" s="36"/>
      <c r="B205" s="20" t="s">
        <v>49</v>
      </c>
      <c r="C205" s="14" t="s">
        <v>45</v>
      </c>
      <c r="D205" s="53">
        <v>4.2</v>
      </c>
      <c r="E205" s="51"/>
      <c r="F205" s="18"/>
      <c r="G205" s="44">
        <f>150/25</f>
        <v>6</v>
      </c>
      <c r="H205" s="13"/>
      <c r="I205" s="9">
        <f>G205*D205*F202</f>
        <v>1690.92</v>
      </c>
      <c r="J205" s="15"/>
    </row>
    <row r="206" spans="1:12" s="11" customFormat="1" ht="15.6" x14ac:dyDescent="0.3">
      <c r="A206" s="36"/>
      <c r="B206" s="20" t="s">
        <v>49</v>
      </c>
      <c r="C206" s="14" t="s">
        <v>50</v>
      </c>
      <c r="D206" s="53">
        <v>0.13</v>
      </c>
      <c r="E206" s="51"/>
      <c r="F206" s="18"/>
      <c r="G206" s="44">
        <f>155/2</f>
        <v>77.5</v>
      </c>
      <c r="H206" s="13"/>
      <c r="I206" s="9">
        <f>F202*D206*G206</f>
        <v>676.03249999999991</v>
      </c>
      <c r="J206" s="15"/>
    </row>
    <row r="207" spans="1:12" s="11" customFormat="1" ht="26.4" x14ac:dyDescent="0.3">
      <c r="A207" s="36"/>
      <c r="B207" s="20" t="s">
        <v>49</v>
      </c>
      <c r="C207" s="14" t="str">
        <f>C199</f>
        <v xml:space="preserve">Устройство керамического плинтуса 150 мм
</v>
      </c>
      <c r="D207" s="53"/>
      <c r="E207" s="51" t="s">
        <v>13</v>
      </c>
      <c r="F207" s="18">
        <f>3.8+(4.7+2.25+2.1+4.9)*7</f>
        <v>101.45</v>
      </c>
      <c r="G207" s="44">
        <f>G199</f>
        <v>130</v>
      </c>
      <c r="H207" s="13">
        <f>F207*G207</f>
        <v>13188.5</v>
      </c>
      <c r="I207" s="9"/>
      <c r="J207" s="15"/>
    </row>
    <row r="208" spans="1:12" s="11" customFormat="1" ht="15.6" x14ac:dyDescent="0.3">
      <c r="A208" s="36"/>
      <c r="B208" s="19" t="s">
        <v>48</v>
      </c>
      <c r="C208" s="10" t="s">
        <v>44</v>
      </c>
      <c r="D208" s="53">
        <v>1.02</v>
      </c>
      <c r="E208" s="51"/>
      <c r="F208" s="18"/>
      <c r="G208" s="44"/>
      <c r="H208" s="13"/>
      <c r="I208" s="9">
        <f>G208*D208*F206</f>
        <v>0</v>
      </c>
      <c r="J208" s="15"/>
      <c r="K208" s="11">
        <v>1</v>
      </c>
      <c r="L208" s="11">
        <v>32.5</v>
      </c>
    </row>
    <row r="209" spans="1:10" s="11" customFormat="1" ht="15.75" customHeight="1" x14ac:dyDescent="0.25">
      <c r="A209" s="243" t="s">
        <v>95</v>
      </c>
      <c r="B209" s="244"/>
      <c r="C209" s="244"/>
      <c r="D209" s="244"/>
      <c r="E209" s="244"/>
      <c r="F209" s="244"/>
      <c r="G209" s="244"/>
      <c r="H209" s="244"/>
      <c r="I209" s="244"/>
      <c r="J209" s="245"/>
    </row>
    <row r="210" spans="1:10" ht="35.25" customHeight="1" x14ac:dyDescent="0.25">
      <c r="A210" s="35">
        <v>39</v>
      </c>
      <c r="B210" s="27" t="s">
        <v>46</v>
      </c>
      <c r="C210" s="31" t="s">
        <v>112</v>
      </c>
      <c r="D210" s="48"/>
      <c r="E210" s="29" t="s">
        <v>13</v>
      </c>
      <c r="F210" s="24">
        <f>(3+14*8+6*7)*1.15+(13+80+70+8)*1.345</f>
        <v>410.54499999999996</v>
      </c>
      <c r="G210" s="42">
        <v>380</v>
      </c>
      <c r="H210" s="24">
        <f>F210*G210</f>
        <v>156007.09999999998</v>
      </c>
      <c r="I210" s="32"/>
      <c r="J210" s="25">
        <f>H210+I211+I212+I213+I214</f>
        <v>186343.80959374999</v>
      </c>
    </row>
    <row r="211" spans="1:10" s="11" customFormat="1" ht="15.6" x14ac:dyDescent="0.3">
      <c r="A211" s="36"/>
      <c r="B211" s="20" t="s">
        <v>49</v>
      </c>
      <c r="C211" s="10" t="s">
        <v>67</v>
      </c>
      <c r="D211" s="54">
        <v>0.1125</v>
      </c>
      <c r="E211" s="51"/>
      <c r="F211" s="18"/>
      <c r="G211" s="44">
        <v>15.5</v>
      </c>
      <c r="H211" s="13"/>
      <c r="I211" s="9">
        <f>G211*D211*F210</f>
        <v>715.88784375</v>
      </c>
      <c r="J211" s="15"/>
    </row>
    <row r="212" spans="1:10" s="11" customFormat="1" ht="15.6" x14ac:dyDescent="0.3">
      <c r="A212" s="36"/>
      <c r="B212" s="19" t="s">
        <v>48</v>
      </c>
      <c r="C212" s="10" t="s">
        <v>44</v>
      </c>
      <c r="D212" s="54">
        <v>0.46</v>
      </c>
      <c r="E212" s="51"/>
      <c r="F212" s="18"/>
      <c r="G212" s="44"/>
      <c r="H212" s="13"/>
      <c r="I212" s="9">
        <f>G212*D212*F210</f>
        <v>0</v>
      </c>
      <c r="J212" s="15"/>
    </row>
    <row r="213" spans="1:10" s="11" customFormat="1" ht="15.6" x14ac:dyDescent="0.3">
      <c r="A213" s="36"/>
      <c r="B213" s="20" t="s">
        <v>49</v>
      </c>
      <c r="C213" s="14" t="s">
        <v>45</v>
      </c>
      <c r="D213" s="66">
        <v>11.25</v>
      </c>
      <c r="E213" s="51"/>
      <c r="F213" s="18"/>
      <c r="G213" s="44">
        <f>150/25</f>
        <v>6</v>
      </c>
      <c r="H213" s="13"/>
      <c r="I213" s="67">
        <f>G213*D213*F210</f>
        <v>27711.787499999999</v>
      </c>
      <c r="J213" s="15"/>
    </row>
    <row r="214" spans="1:10" s="11" customFormat="1" ht="15.6" x14ac:dyDescent="0.3">
      <c r="A214" s="36"/>
      <c r="B214" s="20" t="s">
        <v>49</v>
      </c>
      <c r="C214" s="14" t="s">
        <v>50</v>
      </c>
      <c r="D214" s="54">
        <v>0.06</v>
      </c>
      <c r="E214" s="51"/>
      <c r="F214" s="18"/>
      <c r="G214" s="44">
        <f>155/2</f>
        <v>77.5</v>
      </c>
      <c r="H214" s="13"/>
      <c r="I214" s="9">
        <f>F210*D214*G214</f>
        <v>1909.0342499999997</v>
      </c>
      <c r="J214" s="15"/>
    </row>
    <row r="215" spans="1:10" ht="13.8" x14ac:dyDescent="0.25">
      <c r="C215" s="62" t="s">
        <v>36</v>
      </c>
      <c r="D215" s="63"/>
      <c r="E215" s="63"/>
      <c r="F215" s="64"/>
      <c r="G215" s="65"/>
      <c r="H215" s="64">
        <f>SUM(H24:H214)</f>
        <v>3891907.8245000006</v>
      </c>
      <c r="I215" s="64">
        <f>SUM(I24:I214)</f>
        <v>1790169.4614445192</v>
      </c>
      <c r="J215" s="64">
        <f>H215+I215</f>
        <v>5682077.2859445196</v>
      </c>
    </row>
    <row r="219" spans="1:10" x14ac:dyDescent="0.25">
      <c r="B219" s="2" t="s">
        <v>77</v>
      </c>
    </row>
    <row r="222" spans="1:10" x14ac:dyDescent="0.25">
      <c r="B222" s="2" t="s">
        <v>78</v>
      </c>
    </row>
  </sheetData>
  <mergeCells count="44">
    <mergeCell ref="A209:J209"/>
    <mergeCell ref="A184:J184"/>
    <mergeCell ref="A176:J176"/>
    <mergeCell ref="A201:J201"/>
    <mergeCell ref="A159:J159"/>
    <mergeCell ref="A160:J160"/>
    <mergeCell ref="A168:J168"/>
    <mergeCell ref="A185:J185"/>
    <mergeCell ref="A193:J193"/>
    <mergeCell ref="A153:J153"/>
    <mergeCell ref="A108:J108"/>
    <mergeCell ref="A109:J109"/>
    <mergeCell ref="A110:J110"/>
    <mergeCell ref="A117:J117"/>
    <mergeCell ref="A118:J118"/>
    <mergeCell ref="B17:B19"/>
    <mergeCell ref="C17:C19"/>
    <mergeCell ref="I17:I19"/>
    <mergeCell ref="J17:J19"/>
    <mergeCell ref="A147:J147"/>
    <mergeCell ref="A141:J141"/>
    <mergeCell ref="A140:J140"/>
    <mergeCell ref="A48:J48"/>
    <mergeCell ref="A49:J49"/>
    <mergeCell ref="A50:J50"/>
    <mergeCell ref="A75:J75"/>
    <mergeCell ref="A61:J61"/>
    <mergeCell ref="A128:J128"/>
    <mergeCell ref="C12:H12"/>
    <mergeCell ref="A14:J14"/>
    <mergeCell ref="C11:H11"/>
    <mergeCell ref="B1:J1"/>
    <mergeCell ref="A86:J86"/>
    <mergeCell ref="A15:H16"/>
    <mergeCell ref="H17:H19"/>
    <mergeCell ref="A34:J34"/>
    <mergeCell ref="A23:J23"/>
    <mergeCell ref="A22:J22"/>
    <mergeCell ref="A21:J21"/>
    <mergeCell ref="E17:E19"/>
    <mergeCell ref="D17:D19"/>
    <mergeCell ref="G17:G19"/>
    <mergeCell ref="F17:F19"/>
    <mergeCell ref="A17:A19"/>
  </mergeCells>
  <phoneticPr fontId="6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 2019</oddHeader>
    <oddFooter>&amp;RСтраница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xr:uid="{00000000-0002-0000-0100-000000000000}">
          <x14:formula1>
            <xm:f>Лист1!$A$1:$A$11</xm:f>
          </x14:formula1>
          <xm:sqref>C17:C19 C35:C47 C62:C74 C24:C33 C51:C60 C76:C85 C177:C183 C87:C107 C154:C158 C111:C116 C142:C146 C148:C152 C202:C208 C161:C167 C186:C192 C210:C1048576 C119:C127 C129:C139 C194:C200 C169:C175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>
      <selection activeCell="A15" sqref="A15"/>
    </sheetView>
  </sheetViews>
  <sheetFormatPr defaultRowHeight="13.2" x14ac:dyDescent="0.25"/>
  <cols>
    <col min="1" max="1" width="55.88671875" customWidth="1"/>
  </cols>
  <sheetData>
    <row r="1" spans="1:1" ht="39.6" x14ac:dyDescent="0.25">
      <c r="A1" s="5" t="s">
        <v>98</v>
      </c>
    </row>
    <row r="2" spans="1:1" ht="52.8" x14ac:dyDescent="0.25">
      <c r="A2" s="5" t="s">
        <v>23</v>
      </c>
    </row>
    <row r="3" spans="1:1" x14ac:dyDescent="0.25">
      <c r="A3" t="s">
        <v>24</v>
      </c>
    </row>
    <row r="4" spans="1:1" x14ac:dyDescent="0.25">
      <c r="A4" t="s">
        <v>26</v>
      </c>
    </row>
    <row r="5" spans="1:1" ht="39.6" x14ac:dyDescent="0.25">
      <c r="A5" s="5" t="s">
        <v>25</v>
      </c>
    </row>
    <row r="6" spans="1:1" ht="26.4" x14ac:dyDescent="0.25">
      <c r="A6" s="5" t="s">
        <v>29</v>
      </c>
    </row>
    <row r="7" spans="1:1" ht="26.4" x14ac:dyDescent="0.25">
      <c r="A7" s="5" t="s">
        <v>30</v>
      </c>
    </row>
    <row r="8" spans="1:1" ht="26.4" x14ac:dyDescent="0.25">
      <c r="A8" s="5" t="s">
        <v>20</v>
      </c>
    </row>
    <row r="9" spans="1:1" ht="26.4" x14ac:dyDescent="0.25">
      <c r="A9" s="5" t="s">
        <v>102</v>
      </c>
    </row>
    <row r="10" spans="1:1" ht="26.4" x14ac:dyDescent="0.25">
      <c r="A10" s="5" t="s">
        <v>21</v>
      </c>
    </row>
    <row r="11" spans="1:1" ht="39.6" x14ac:dyDescent="0.25">
      <c r="A11" s="5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СПС</vt:lpstr>
      <vt:lpstr>смета с расчетом и формулами </vt:lpstr>
      <vt:lpstr>Лист1</vt:lpstr>
      <vt:lpstr>'смета с расчетом и формулами '!Print_Titles</vt:lpstr>
      <vt:lpstr>СПС!Print_Titles</vt:lpstr>
      <vt:lpstr>'смета с расчетом и формулами '!Заголовки_для_печати</vt:lpstr>
      <vt:lpstr>СПС!Заголовки_для_печати</vt:lpstr>
      <vt:lpstr>СПС!Область_печати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Перевалова Вера Александровна</dc:creator>
  <cp:lastModifiedBy>Александров Денис Иефуевич</cp:lastModifiedBy>
  <cp:lastPrinted>2023-03-16T06:57:56Z</cp:lastPrinted>
  <dcterms:created xsi:type="dcterms:W3CDTF">2002-02-11T05:58:42Z</dcterms:created>
  <dcterms:modified xsi:type="dcterms:W3CDTF">2023-09-04T13:34:42Z</dcterms:modified>
</cp:coreProperties>
</file>